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01-ALUMBRADO PUBLICO\2023\Iluminacion Enfermera Medina - Caucete\"/>
    </mc:Choice>
  </mc:AlternateContent>
  <bookViews>
    <workbookView xWindow="0" yWindow="0" windowWidth="21570" windowHeight="8085" tabRatio="855" activeTab="5"/>
  </bookViews>
  <sheets>
    <sheet name="Indices" sheetId="18" r:id="rId1"/>
    <sheet name="Instrucciones" sheetId="16" r:id="rId2"/>
    <sheet name="Datos" sheetId="15" r:id="rId3"/>
    <sheet name="PTyCI" sheetId="9" r:id="rId4"/>
    <sheet name="AP" sheetId="6"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AP!$C$1:$C$546</definedName>
    <definedName name="_xlnm._FilterDatabase" localSheetId="5" hidden="1">CyP!$A$1:$A$43</definedName>
    <definedName name="_xlnm._FilterDatabase" localSheetId="2" hidden="1">Datos!#REF!</definedName>
    <definedName name="_xlnm._FilterDatabase" localSheetId="0" hidden="1">Indices!#REF!</definedName>
    <definedName name="_xlnm._FilterDatabase" localSheetId="3" hidden="1">PTyCI!$D$1:$D$35</definedName>
    <definedName name="Anticipo_Financiero">Datos!$C$8</definedName>
    <definedName name="_xlnm.Print_Area" localSheetId="4">AP!$A$1:$G$546</definedName>
    <definedName name="_xlnm.Print_Area" localSheetId="5">CyP!$A$1:$I$43</definedName>
    <definedName name="_xlnm.Print_Area" localSheetId="2">Datos!$B$1:$H$114</definedName>
    <definedName name="_xlnm.Print_Area" localSheetId="3">PTyCI!$A$1:$I$32</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3">PTyCI!$A:$D,PTyCI!$1:$12</definedName>
    <definedName name="Ubicación">Datos!$C$4</definedName>
  </definedNames>
  <calcPr calcId="162913"/>
</workbook>
</file>

<file path=xl/calcChain.xml><?xml version="1.0" encoding="utf-8"?>
<calcChain xmlns="http://schemas.openxmlformats.org/spreadsheetml/2006/main">
  <c r="E27" i="2" l="1"/>
  <c r="A24" i="9"/>
  <c r="A23" i="9"/>
  <c r="A27" i="2"/>
  <c r="A22" i="9" s="1"/>
  <c r="G11" i="9" l="1"/>
  <c r="H11" i="9" s="1"/>
  <c r="I11" i="9" s="1"/>
  <c r="E19" i="2"/>
  <c r="E20" i="2"/>
  <c r="E21" i="2"/>
  <c r="E22" i="2"/>
  <c r="E23" i="2"/>
  <c r="E24" i="2"/>
  <c r="E25" i="2"/>
  <c r="E26" i="2"/>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3" i="2"/>
  <c r="B33" i="2"/>
  <c r="B39" i="2"/>
  <c r="B38" i="2"/>
  <c r="B3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39" i="2" l="1"/>
  <c r="E38" i="2"/>
  <c r="E36"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4" i="15" l="1"/>
  <c r="C45" i="15"/>
  <c r="C44" i="15"/>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87" i="15"/>
  <c r="A87" i="15" s="1"/>
  <c r="C117" i="15"/>
  <c r="C154" i="15"/>
  <c r="C72" i="15"/>
  <c r="D211" i="15"/>
  <c r="A211" i="15" s="1"/>
  <c r="D88" i="15"/>
  <c r="A88" i="15" s="1"/>
  <c r="D182" i="15"/>
  <c r="A182" i="15" s="1"/>
  <c r="D40" i="15"/>
  <c r="C126" i="15"/>
  <c r="D188" i="15"/>
  <c r="A188" i="15" s="1"/>
  <c r="D183" i="15"/>
  <c r="A183" i="15" s="1"/>
  <c r="C148" i="15"/>
  <c r="C28" i="15"/>
  <c r="B20" i="2" s="1"/>
  <c r="D125" i="15"/>
  <c r="A125" i="15" s="1"/>
  <c r="C198" i="15"/>
  <c r="C119" i="15"/>
  <c r="C105" i="15"/>
  <c r="C66" i="15"/>
  <c r="D122" i="15"/>
  <c r="A122" i="15" s="1"/>
  <c r="D209" i="15"/>
  <c r="A209" i="15" s="1"/>
  <c r="D28" i="15"/>
  <c r="D129" i="15"/>
  <c r="A129" i="15" s="1"/>
  <c r="D120" i="15"/>
  <c r="A120" i="15" s="1"/>
  <c r="C37" i="15"/>
  <c r="C172" i="15"/>
  <c r="D94" i="15"/>
  <c r="A94" i="15" s="1"/>
  <c r="D35" i="15"/>
  <c r="D27" i="2" s="1"/>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2" i="15"/>
  <c r="B24" i="2" s="1"/>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1"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3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2" i="15"/>
  <c r="C167" i="15"/>
  <c r="C128" i="15"/>
  <c r="D223" i="15"/>
  <c r="A223" i="15" s="1"/>
  <c r="D217" i="15"/>
  <c r="A217" i="15" s="1"/>
  <c r="C41" i="15"/>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30" i="15"/>
  <c r="D177" i="15"/>
  <c r="A177" i="15" s="1"/>
  <c r="C218" i="15"/>
  <c r="D220" i="15"/>
  <c r="A220" i="15" s="1"/>
  <c r="D68" i="15"/>
  <c r="A68" i="15" s="1"/>
  <c r="C29" i="15"/>
  <c r="B21" i="2" s="1"/>
  <c r="C155" i="15"/>
  <c r="D86" i="15"/>
  <c r="A86" i="15" s="1"/>
  <c r="C132" i="15"/>
  <c r="D72" i="15"/>
  <c r="A72" i="15" s="1"/>
  <c r="C190" i="15"/>
  <c r="C140" i="15"/>
  <c r="C106" i="15"/>
  <c r="C64" i="15"/>
  <c r="D178" i="15"/>
  <c r="A178" i="15" s="1"/>
  <c r="C30" i="15"/>
  <c r="B22" i="2" s="1"/>
  <c r="D160" i="15"/>
  <c r="A160" i="15" s="1"/>
  <c r="C139" i="15"/>
  <c r="D212" i="15"/>
  <c r="A212" i="15" s="1"/>
  <c r="C129" i="15"/>
  <c r="B26" i="2"/>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4" i="15"/>
  <c r="D118" i="15"/>
  <c r="A118" i="15" s="1"/>
  <c r="D42" i="15"/>
  <c r="D197" i="15"/>
  <c r="A197" i="15" s="1"/>
  <c r="C222" i="15"/>
  <c r="C36" i="15"/>
  <c r="B23" i="9" s="1"/>
  <c r="C138" i="15"/>
  <c r="C35" i="15"/>
  <c r="C144" i="15"/>
  <c r="C99" i="15"/>
  <c r="C204" i="15"/>
  <c r="C124" i="15"/>
  <c r="D161" i="15"/>
  <c r="A161" i="15" s="1"/>
  <c r="D136" i="15"/>
  <c r="A136" i="15" s="1"/>
  <c r="C220" i="15"/>
  <c r="D186" i="15"/>
  <c r="A186" i="15" s="1"/>
  <c r="C38" i="15"/>
  <c r="D29" i="15"/>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3" i="15"/>
  <c r="B25" i="2" s="1"/>
  <c r="D163" i="15"/>
  <c r="A163" i="15" s="1"/>
  <c r="D90" i="15"/>
  <c r="A90" i="15" s="1"/>
  <c r="C173" i="15"/>
  <c r="D100" i="15"/>
  <c r="A100" i="15" s="1"/>
  <c r="C194" i="15"/>
  <c r="D210" i="15"/>
  <c r="A210" i="15" s="1"/>
  <c r="C197" i="15"/>
  <c r="C201" i="15"/>
  <c r="C111" i="15"/>
  <c r="C212" i="15"/>
  <c r="C31" i="15"/>
  <c r="B23" i="2" s="1"/>
  <c r="C160" i="15"/>
  <c r="D93" i="15"/>
  <c r="A93" i="15" s="1"/>
  <c r="C78" i="15"/>
  <c r="D134" i="15"/>
  <c r="A134" i="15" s="1"/>
  <c r="D123" i="15"/>
  <c r="A123" i="15" s="1"/>
  <c r="C120" i="15"/>
  <c r="D203" i="15"/>
  <c r="A203" i="15" s="1"/>
  <c r="D26" i="15"/>
  <c r="A26" i="15" s="1"/>
  <c r="A36" i="15" l="1"/>
  <c r="B24" i="9"/>
  <c r="B27" i="2"/>
  <c r="B22" i="9" s="1"/>
  <c r="B7" i="6"/>
  <c r="B6" i="6" s="1"/>
  <c r="A27" i="15"/>
  <c r="A28" i="15" s="1"/>
  <c r="A29" i="15" s="1"/>
  <c r="A30" i="15" s="1"/>
  <c r="A31" i="15" s="1"/>
  <c r="A32" i="15" s="1"/>
  <c r="A33" i="15" s="1"/>
  <c r="A34" i="15" s="1"/>
  <c r="A35" i="15" s="1"/>
  <c r="A38" i="15" s="1"/>
  <c r="A39" i="15" s="1"/>
  <c r="A40" i="15" s="1"/>
  <c r="A41" i="15" s="1"/>
  <c r="A42" i="15" s="1"/>
  <c r="A43" i="15" s="1"/>
  <c r="E27" i="14"/>
  <c r="K14" i="9"/>
  <c r="A44" i="15" l="1"/>
  <c r="A45" i="15" s="1"/>
  <c r="A46" i="15" s="1"/>
  <c r="A47" i="15" s="1"/>
  <c r="A48" i="15" s="1"/>
  <c r="A49" i="15" s="1"/>
  <c r="A50" i="15" s="1"/>
  <c r="A51" i="15" s="1"/>
  <c r="A52" i="15" s="1"/>
  <c r="A53" i="15" s="1"/>
  <c r="A54" i="15" s="1"/>
  <c r="A55" i="15" s="1"/>
  <c r="A56" i="15" s="1"/>
  <c r="A57" i="15" s="1"/>
  <c r="A58" i="15" s="1"/>
  <c r="A59" i="15" s="1"/>
  <c r="A60" i="15" s="1"/>
  <c r="A61" i="15" s="1"/>
  <c r="A62" i="15" s="1"/>
  <c r="A63"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5" i="9" l="1"/>
  <c r="K24"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A14" i="9"/>
  <c r="D19" i="2"/>
  <c r="D23" i="2"/>
  <c r="A18" i="9"/>
  <c r="C2070" i="15"/>
  <c r="C1420" i="15"/>
  <c r="D22" i="2"/>
  <c r="A17" i="9"/>
  <c r="D24" i="2"/>
  <c r="A19" i="9"/>
  <c r="B958" i="2"/>
  <c r="D25" i="2"/>
  <c r="A20" i="9"/>
  <c r="D21" i="2"/>
  <c r="A16" i="9"/>
  <c r="D26" i="2"/>
  <c r="A21" i="9"/>
  <c r="B1558" i="2"/>
  <c r="B1658" i="2"/>
  <c r="B1808" i="2"/>
  <c r="B1908" i="2"/>
  <c r="B1758"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08" i="2"/>
  <c r="B1958" i="2"/>
  <c r="B18" i="9"/>
  <c r="B14" i="9"/>
  <c r="B13" i="9"/>
  <c r="B1108" i="2"/>
  <c r="B1008" i="2"/>
  <c r="G7" i="6"/>
  <c r="C7" i="6"/>
  <c r="B49" i="6" s="1"/>
  <c r="C6" i="6"/>
  <c r="B1258" i="2"/>
  <c r="B1158" i="2"/>
  <c r="B1608" i="2"/>
  <c r="B1858" i="2"/>
  <c r="B1208" i="2"/>
  <c r="B1458" i="2"/>
  <c r="B2008" i="2"/>
  <c r="B1508" i="2"/>
  <c r="B16" i="9"/>
  <c r="B1308" i="2"/>
  <c r="B21" i="9"/>
  <c r="B20" i="9"/>
  <c r="B1058" i="2"/>
  <c r="B15" i="9"/>
  <c r="B19" i="9"/>
  <c r="B1708" i="2"/>
  <c r="B17" i="9"/>
  <c r="B1358" i="2"/>
  <c r="F19" i="2" l="1"/>
  <c r="F21" i="2"/>
  <c r="F20" i="2"/>
  <c r="F22" i="2"/>
  <c r="F23" i="2"/>
  <c r="F26" i="2"/>
  <c r="F24" i="2"/>
  <c r="F25" i="2"/>
  <c r="F30" i="2" l="1"/>
  <c r="E35" i="2"/>
  <c r="B35" i="2"/>
  <c r="G23" i="2"/>
  <c r="G21" i="2"/>
  <c r="G20" i="2"/>
  <c r="G18" i="2"/>
  <c r="G24" i="2"/>
  <c r="G25" i="2"/>
  <c r="G19" i="2"/>
  <c r="C19" i="15"/>
  <c r="G22" i="2"/>
  <c r="G26" i="2"/>
  <c r="H18" i="2" l="1"/>
  <c r="H20" i="2"/>
  <c r="H19" i="2"/>
  <c r="H25" i="2"/>
  <c r="H24" i="2"/>
  <c r="H26" i="2"/>
  <c r="H23" i="2"/>
  <c r="H22" i="2"/>
  <c r="H21" i="2"/>
  <c r="H30" i="2" l="1"/>
  <c r="B43" i="2"/>
  <c r="C11" i="2" l="1"/>
  <c r="I25" i="2"/>
  <c r="D20" i="9" s="1"/>
  <c r="I21" i="2"/>
  <c r="D16" i="9" s="1"/>
  <c r="I23" i="2"/>
  <c r="D18" i="9" s="1"/>
  <c r="I20" i="2"/>
  <c r="D15" i="9" s="1"/>
  <c r="I19" i="2"/>
  <c r="D14" i="9" s="1"/>
  <c r="I22" i="2"/>
  <c r="D17" i="9" s="1"/>
  <c r="H41" i="2"/>
  <c r="H32" i="2" s="1"/>
  <c r="I24" i="2"/>
  <c r="D19" i="9" s="1"/>
  <c r="D22" i="9"/>
  <c r="E31" i="9"/>
  <c r="E32" i="9" s="1"/>
  <c r="I18" i="2"/>
  <c r="D13" i="9" s="1"/>
  <c r="I26" i="2"/>
  <c r="D21" i="9" s="1"/>
  <c r="D24" i="9" l="1"/>
  <c r="I28" i="9" s="1"/>
  <c r="I31" i="9" s="1"/>
  <c r="I30" i="2"/>
  <c r="H33" i="2"/>
  <c r="H34" i="2" s="1"/>
  <c r="H35" i="2" s="1"/>
  <c r="H28" i="9" l="1"/>
  <c r="H31" i="9" s="1"/>
  <c r="G28" i="9"/>
  <c r="G31" i="9" s="1"/>
  <c r="F28" i="9"/>
  <c r="F31" i="9" s="1"/>
  <c r="F32" i="9" s="1"/>
  <c r="D26" i="9"/>
  <c r="H36" i="2"/>
  <c r="H37" i="2" s="1"/>
  <c r="G32" i="9" l="1"/>
  <c r="H32" i="9" s="1"/>
  <c r="I32" i="9" s="1"/>
  <c r="F29" i="9"/>
  <c r="G29" i="9" s="1"/>
  <c r="H29" i="9" s="1"/>
  <c r="I29" i="9" s="1"/>
  <c r="H38" i="2"/>
  <c r="H39"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<sst xmlns="http://schemas.openxmlformats.org/spreadsheetml/2006/main" count="2815" uniqueCount="1478">
  <si>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</si>
  <si>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</si>
  <si>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</si>
  <si>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</si>
  <si>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</si>
  <si>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</si>
  <si>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</si>
  <si>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</si>
  <si>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</si>
  <si>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</si>
  <si>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</si>
  <si>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</si>
  <si>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</si>
  <si>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</si>
  <si>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</si>
  <si>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</si>
  <si>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</si>
  <si>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</si>
  <si>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</si>
  <si>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</si>
  <si>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</si>
  <si>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</si>
  <si>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</si>
  <si>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</si>
  <si>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</si>
  <si>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</si>
  <si>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</si>
  <si>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</si>
  <si>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</si>
  <si>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</si>
  <si>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</si>
  <si>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</si>
  <si>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</si>
  <si>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</si>
  <si>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</si>
  <si>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</si>
  <si>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</si>
  <si>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</si>
  <si>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</si>
  <si>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</si>
  <si>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</si>
  <si>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</si>
  <si>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</si>
  <si>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</si>
  <si>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</si>
  <si>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</si>
  <si>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</si>
  <si>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</si>
  <si>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</si>
  <si>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</si>
  <si>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</si>
  <si>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</si>
  <si>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</si>
  <si>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</si>
  <si>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</si>
  <si>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</si>
  <si>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</si>
  <si>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</si>
  <si>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</si>
  <si>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</si>
  <si>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</si>
  <si>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</si>
  <si>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</si>
  <si>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</si>
  <si>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</si>
  <si>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</si>
  <si>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</si>
  <si>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</si>
  <si>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</si>
  <si>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</si>
  <si>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</si>
  <si>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</si>
  <si>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</si>
  <si>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</si>
  <si>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</si>
  <si>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</si>
  <si>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</si>
  <si>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</si>
  <si>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</si>
  <si>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</si>
  <si>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</si>
  <si>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</si>
  <si>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</si>
  <si>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</si>
  <si>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</si>
  <si>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</si>
  <si>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</si>
  <si>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</si>
  <si>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</si>
  <si>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</si>
  <si>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</si>
  <si>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</si>
  <si>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</si>
  <si>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</si>
  <si>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</si>
  <si>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</si>
  <si>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</si>
  <si>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</si>
  <si>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</si>
  <si>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</si>
  <si>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</si>
  <si>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</si>
  <si>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</si>
  <si>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</si>
  <si>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</si>
  <si>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</si>
  <si>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</si>
  <si>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</si>
  <si>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</si>
  <si>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</si>
  <si>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</si>
  <si>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</si>
  <si>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</si>
  <si>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</si>
  <si>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</si>
  <si>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</si>
  <si>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</si>
  <si>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</si>
  <si>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</si>
  <si>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</si>
  <si>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</si>
  <si>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</si>
  <si>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</si>
  <si>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</si>
  <si>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</si>
  <si>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</si>
  <si>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</si>
  <si>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</si>
  <si>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</si>
  <si>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</si>
  <si>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</si>
  <si>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</si>
  <si>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</si>
  <si>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</si>
  <si>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</si>
  <si>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</si>
  <si>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</si>
  <si>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</si>
  <si>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</si>
  <si>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</si>
  <si>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</si>
  <si>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</si>
  <si>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</si>
  <si>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</si>
  <si>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</si>
  <si>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</si>
  <si>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</si>
  <si>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</si>
  <si>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</si>
  <si>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</si>
  <si>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</si>
  <si>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</si>
  <si>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</si>
  <si>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</si>
  <si>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</si>
  <si>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</si>
  <si>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</si>
  <si>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</si>
  <si>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</si>
  <si>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</si>
  <si>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</si>
  <si>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</si>
  <si>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</si>
  <si>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</si>
  <si>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</si>
  <si>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</si>
  <si>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</si>
  <si>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</si>
  <si>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</si>
  <si>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</si>
  <si>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</si>
  <si>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</si>
  <si>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</si>
  <si>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</si>
  <si>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</si>
  <si>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</si>
  <si>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</si>
  <si>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</si>
  <si>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</si>
  <si>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</si>
  <si>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</si>
  <si>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</si>
  <si>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</si>
  <si>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</si>
  <si>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</si>
  <si>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</si>
  <si>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</si>
  <si>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</si>
  <si>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</si>
  <si>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</si>
  <si>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</si>
  <si>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</si>
  <si>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</si>
  <si>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</si>
  <si>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</si>
  <si>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</si>
  <si>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</si>
  <si>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</si>
  <si>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</si>
  <si>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</si>
  <si>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</si>
  <si>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</si>
  <si>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</si>
  <si>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</si>
  <si>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</si>
  <si>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</si>
  <si>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</si>
  <si>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</si>
  <si>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</si>
  <si>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</si>
  <si>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</si>
  <si>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</si>
  <si>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</si>
  <si>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</si>
  <si>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</si>
  <si>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</si>
  <si>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</si>
  <si>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</si>
  <si>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</si>
  <si>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</si>
  <si>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</si>
  <si>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</si>
  <si>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</si>
  <si>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</si>
  <si>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</si>
  <si>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</si>
  <si>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</si>
  <si>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</si>
  <si>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</si>
  <si>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</si>
  <si>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</si>
  <si>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</si>
  <si>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</si>
  <si>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</si>
  <si>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</si>
  <si>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</si>
  <si>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</si>
  <si>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</si>
  <si>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</si>
  <si>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</si>
  <si>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</si>
  <si>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</si>
  <si>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</si>
  <si>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</si>
  <si>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</si>
  <si>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</si>
  <si>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</si>
  <si>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</si>
  <si>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</si>
  <si>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</si>
  <si>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</si>
  <si>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</si>
  <si>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</si>
  <si>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</si>
  <si>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</si>
  <si>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</si>
  <si>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</si>
  <si>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</si>
  <si>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</si>
  <si>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</si>
  <si>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</si>
  <si>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</si>
  <si>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</si>
  <si>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</si>
  <si>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</si>
  <si>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</si>
  <si>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</si>
  <si>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</si>
  <si>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</si>
  <si>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</si>
  <si>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</si>
  <si>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</si>
  <si>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</si>
  <si>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</si>
  <si>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</si>
  <si>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</si>
  <si>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</si>
  <si>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</si>
  <si>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</si>
  <si>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</si>
  <si>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</si>
  <si>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</si>
  <si>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</si>
  <si>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</si>
  <si>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</si>
  <si>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</si>
  <si>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</si>
  <si>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</si>
  <si>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</si>
  <si>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</si>
  <si>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</si>
  <si>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</si>
  <si>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</si>
  <si>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</si>
  <si>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</si>
  <si>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</si>
  <si>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</si>
  <si>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</si>
  <si>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</si>
  <si>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</si>
  <si>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</si>
  <si>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</si>
  <si>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</si>
  <si>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</si>
  <si>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</si>
  <si>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</si>
  <si>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</si>
  <si>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</si>
  <si>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</si>
  <si>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</si>
  <si>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</si>
  <si>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</si>
  <si>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</si>
  <si>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</si>
  <si>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</si>
  <si>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</si>
  <si>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</si>
  <si>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</si>
  <si>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</si>
  <si>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</si>
  <si>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</si>
  <si>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</si>
  <si>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</si>
  <si>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</si>
  <si>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</si>
  <si>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</si>
  <si>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</si>
  <si>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</si>
  <si>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</si>
  <si>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</si>
  <si>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</si>
  <si>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</si>
  <si>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</si>
  <si>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</si>
  <si>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</si>
  <si>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</si>
  <si>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</si>
  <si>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</si>
  <si>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</si>
  <si>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</si>
  <si>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</si>
  <si>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</si>
  <si>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</si>
  <si>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</si>
  <si>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</si>
  <si>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</si>
  <si>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</si>
  <si>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</si>
  <si>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</si>
  <si>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</si>
  <si>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</si>
  <si>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</si>
  <si>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</si>
  <si>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</si>
  <si>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</si>
  <si>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</si>
  <si>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</si>
  <si>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</si>
  <si>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</si>
  <si>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</si>
  <si>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</si>
  <si>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</si>
  <si>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</si>
  <si>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</si>
  <si>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</si>
  <si>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</si>
  <si>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</si>
  <si>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</si>
  <si>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</si>
  <si>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</si>
  <si>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</si>
  <si>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</si>
  <si>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</si>
  <si>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</si>
  <si>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</si>
  <si>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</si>
  <si>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</si>
  <si>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</si>
  <si>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</si>
  <si>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</si>
  <si>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</si>
  <si>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</si>
  <si>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</si>
  <si>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</si>
  <si>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</si>
  <si>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</si>
  <si>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</si>
  <si>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</si>
  <si>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</si>
  <si>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</si>
  <si>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</si>
  <si>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</si>
  <si>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</si>
  <si>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</si>
  <si>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</si>
  <si>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</si>
  <si>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</si>
  <si>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</si>
  <si>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</si>
  <si>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</si>
  <si>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</si>
  <si>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</si>
  <si>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</si>
  <si>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</si>
  <si>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</si>
  <si>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</si>
  <si>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</si>
  <si>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</si>
  <si>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</si>
  <si>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</si>
  <si>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</si>
  <si>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</si>
  <si>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</si>
  <si>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</si>
  <si>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</si>
  <si>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</si>
  <si>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</si>
  <si>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</si>
  <si>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</si>
  <si>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</si>
  <si>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</si>
  <si>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</si>
  <si>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</si>
  <si>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</si>
  <si>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</si>
  <si>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</si>
  <si>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</si>
  <si>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</si>
  <si>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</si>
  <si>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</si>
  <si>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</si>
  <si>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</si>
  <si>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</si>
  <si>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</si>
  <si>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</si>
  <si>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</si>
  <si>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</si>
  <si>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</si>
  <si>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</si>
  <si>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</si>
  <si>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</si>
  <si>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</si>
  <si>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</si>
  <si>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</si>
  <si>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</si>
  <si>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</si>
  <si>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</si>
  <si>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</si>
  <si>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</si>
  <si>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</si>
  <si>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</si>
  <si>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</si>
  <si>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</si>
  <si>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</si>
  <si>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</si>
  <si>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</si>
  <si>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</si>
  <si>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</si>
  <si>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</si>
  <si>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</si>
  <si>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</si>
  <si>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</si>
  <si>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</si>
  <si>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</si>
  <si>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</si>
  <si>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</si>
  <si>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</si>
  <si>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</si>
  <si>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</si>
  <si>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</si>
  <si>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</si>
  <si>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</si>
  <si>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</si>
  <si>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</si>
  <si>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</si>
  <si>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</si>
  <si>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</si>
  <si>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</si>
  <si>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</si>
  <si>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</si>
  <si>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</si>
  <si>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</si>
  <si>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</si>
  <si>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</si>
  <si>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</si>
  <si>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</si>
  <si>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</si>
  <si>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</si>
  <si>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</si>
  <si>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</si>
  <si>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</si>
  <si>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</si>
  <si>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</si>
  <si>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</si>
  <si>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</si>
  <si>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</si>
  <si>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</si>
  <si>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</si>
  <si>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</si>
  <si>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</si>
  <si>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</si>
  <si>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</si>
  <si>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</si>
  <si>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</si>
  <si>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</si>
  <si>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</si>
  <si>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</si>
  <si>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</si>
  <si>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</si>
  <si>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</si>
  <si>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</si>
  <si>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</si>
  <si>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</si>
  <si>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</si>
  <si>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</si>
  <si>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</si>
  <si>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</si>
  <si>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</si>
  <si>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</si>
  <si>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</si>
  <si>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</si>
  <si>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</si>
  <si>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</si>
  <si>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</si>
  <si>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</si>
  <si>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</si>
  <si>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</si>
  <si>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</si>
  <si>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</si>
  <si>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</si>
  <si>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</si>
  <si>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</si>
  <si>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</si>
  <si>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</si>
  <si>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</si>
  <si>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</si>
  <si>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</si>
  <si>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</si>
  <si>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</si>
  <si>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</si>
  <si>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</si>
  <si>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</si>
  <si>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</si>
  <si>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</si>
  <si>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</si>
  <si>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</si>
  <si>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</si>
  <si>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</si>
  <si>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</si>
  <si>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</si>
  <si>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</si>
  <si>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</si>
  <si>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</si>
  <si>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</si>
  <si>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</si>
  <si>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</si>
  <si>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</si>
  <si>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</si>
  <si>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</si>
  <si>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</si>
  <si>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</si>
  <si>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</si>
  <si>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</si>
  <si>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</si>
  <si>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</si>
  <si>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</si>
  <si>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</si>
  <si>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</si>
  <si>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</si>
  <si>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</si>
  <si>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</si>
  <si>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</si>
  <si>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</si>
  <si>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</si>
  <si>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</si>
  <si>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</si>
  <si>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</si>
  <si>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</si>
  <si>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</si>
  <si>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</si>
  <si>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</si>
  <si>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</si>
  <si>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</si>
  <si>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</si>
  <si>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</si>
  <si>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</si>
  <si>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</si>
  <si>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</si>
  <si>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</si>
  <si>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</si>
  <si>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</si>
  <si>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</si>
  <si>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</si>
  <si>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</si>
  <si>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</si>
  <si>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</si>
  <si>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</si>
  <si>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</si>
  <si>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</si>
  <si>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</si>
  <si>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</si>
  <si>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</si>
  <si>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</si>
  <si>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</si>
  <si>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</si>
  <si>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</si>
  <si>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</si>
  <si>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</si>
  <si>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</si>
  <si>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</si>
  <si>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</si>
  <si>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</si>
  <si>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</si>
  <si>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</si>
  <si>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</si>
  <si>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</si>
  <si>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</si>
  <si>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</si>
  <si>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</si>
  <si>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</si>
  <si>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</si>
  <si>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</si>
  <si>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</si>
  <si>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</si>
  <si>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</si>
  <si>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</si>
  <si>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</si>
  <si>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</si>
  <si>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</si>
  <si>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</si>
  <si>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</si>
  <si>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</si>
  <si>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</si>
  <si>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</si>
  <si>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</si>
  <si>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</si>
  <si>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</si>
  <si>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</si>
  <si>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</si>
  <si>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</si>
  <si>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</si>
  <si>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</si>
  <si>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</si>
  <si>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</si>
  <si>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</si>
  <si>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</si>
  <si>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</si>
  <si>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</si>
  <si>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</si>
  <si>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</si>
  <si>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</si>
  <si>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</si>
  <si>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</si>
  <si>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</si>
  <si>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</si>
  <si>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</si>
  <si>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</si>
  <si>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</si>
  <si>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</si>
  <si>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</si>
  <si>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</si>
  <si>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</si>
  <si>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</si>
  <si>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</si>
  <si>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</si>
  <si>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</si>
  <si>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</si>
  <si>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</si>
  <si>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</si>
  <si>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</si>
  <si>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</si>
  <si>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</si>
  <si>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</si>
  <si>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</si>
  <si>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</si>
  <si>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</si>
  <si>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</si>
  <si>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</si>
  <si>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</si>
  <si>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</si>
  <si>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</si>
  <si>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</si>
  <si>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</si>
  <si>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</si>
  <si>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</si>
  <si>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</si>
  <si>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</si>
  <si>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</si>
  <si>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</si>
  <si>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</si>
  <si>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</si>
  <si>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</si>
  <si>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</si>
  <si>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</si>
  <si>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</si>
  <si>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</si>
  <si>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</si>
  <si>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</si>
  <si>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</si>
  <si>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</si>
  <si>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</si>
  <si>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</si>
  <si>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</si>
  <si>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</si>
  <si>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</si>
  <si>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</si>
  <si>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</si>
  <si>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</si>
  <si>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</si>
  <si>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</si>
  <si>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</si>
  <si>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</si>
  <si>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</si>
  <si>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</si>
  <si>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</si>
  <si>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</si>
  <si>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</si>
  <si>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</si>
  <si>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</si>
  <si>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</si>
  <si>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</si>
  <si>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</si>
  <si>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</si>
  <si>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</si>
  <si>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</si>
  <si>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</si>
  <si>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</si>
  <si>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</si>
  <si>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</si>
  <si>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</si>
  <si>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</si>
  <si>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</si>
  <si>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</si>
  <si>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</si>
  <si>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</si>
  <si>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</si>
  <si>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</si>
  <si>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</si>
  <si>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</si>
  <si>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</si>
  <si>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</si>
  <si>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</si>
  <si>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</si>
  <si>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</si>
  <si>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</si>
  <si>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</si>
  <si>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</si>
  <si>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</si>
  <si>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</si>
  <si>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</si>
  <si>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</si>
  <si>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</si>
  <si>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</si>
  <si>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</si>
  <si>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</si>
  <si>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</si>
  <si>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</si>
  <si>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</si>
  <si>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</si>
  <si>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</si>
  <si>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</si>
  <si>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</si>
  <si>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</si>
  <si>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</si>
  <si>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</si>
  <si>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</si>
  <si>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</si>
  <si>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</si>
  <si>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</si>
  <si>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</si>
  <si>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</si>
  <si>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</si>
  <si>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</si>
  <si>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</si>
  <si>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</si>
  <si>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</si>
  <si>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</si>
  <si>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</si>
  <si>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</si>
  <si>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</si>
  <si>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</si>
  <si>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</si>
  <si>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</si>
  <si>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</si>
  <si>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</si>
  <si>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</si>
  <si>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</si>
  <si>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</si>
  <si>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</si>
  <si>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</si>
  <si>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</si>
  <si>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</si>
  <si>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</si>
  <si>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</si>
  <si>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</si>
  <si>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</si>
  <si>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</si>
  <si>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</si>
  <si>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</si>
  <si>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</si>
  <si>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</si>
  <si>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</si>
  <si>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</si>
  <si>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</si>
  <si>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</si>
  <si>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</si>
  <si>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</si>
  <si>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</si>
  <si>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</si>
  <si>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</si>
  <si>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</si>
  <si>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</si>
  <si>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</si>
  <si>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</si>
  <si>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</si>
  <si>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</si>
  <si>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</si>
  <si>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</si>
  <si>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</si>
  <si>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</si>
  <si>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</si>
  <si>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</si>
  <si>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</si>
  <si>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</si>
  <si>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</si>
  <si>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</si>
  <si>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</si>
  <si>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</si>
  <si>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</si>
  <si>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</si>
  <si>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</si>
  <si>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</si>
  <si>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</si>
  <si>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</si>
  <si>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</si>
  <si>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</si>
  <si>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</si>
  <si>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</si>
  <si>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</si>
  <si>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</si>
  <si>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</si>
  <si>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</si>
  <si>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</si>
  <si>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</si>
  <si>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</si>
  <si>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</si>
  <si>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</si>
  <si>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</si>
  <si>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</si>
  <si>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</si>
  <si>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</si>
  <si>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</si>
  <si>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</si>
  <si>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</si>
  <si>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</si>
  <si>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</si>
  <si>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</si>
  <si>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</si>
  <si>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</si>
  <si>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</si>
  <si>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</si>
  <si>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</si>
  <si>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</si>
  <si>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</si>
  <si>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</si>
  <si>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</si>
  <si>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</si>
  <si>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</si>
  <si>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</si>
  <si>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</si>
  <si>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</si>
  <si>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</si>
  <si>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</si>
  <si>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</si>
  <si>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</si>
  <si>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</si>
  <si>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</si>
  <si>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</si>
  <si>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</si>
  <si>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</si>
  <si>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</si>
  <si>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</si>
  <si>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</si>
  <si>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</si>
  <si>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</si>
  <si>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</si>
  <si>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</si>
  <si>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</si>
  <si>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</si>
  <si>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</si>
  <si>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</si>
  <si>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</si>
  <si>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</si>
  <si>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</si>
  <si>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</si>
  <si>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</si>
  <si>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</si>
  <si>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</si>
  <si>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</si>
  <si>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</si>
  <si>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</si>
  <si>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</si>
  <si>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</si>
  <si>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</si>
  <si>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</si>
  <si>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</si>
  <si>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</si>
  <si>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</si>
  <si>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</si>
  <si>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</si>
  <si>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</si>
  <si>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</si>
  <si>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</si>
  <si>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</si>
  <si>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</si>
  <si>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</si>
  <si>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</si>
  <si>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</si>
  <si>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</si>
  <si>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</si>
  <si>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</si>
  <si>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</si>
  <si>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</si>
  <si>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</si>
  <si>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</si>
  <si>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</si>
  <si>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</si>
  <si>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</si>
  <si>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</si>
  <si>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</si>
  <si>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</si>
  <si>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</si>
  <si>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</si>
  <si>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</si>
  <si>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</si>
  <si>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</si>
  <si>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</si>
  <si>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</si>
  <si>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</si>
  <si>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</si>
  <si>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</si>
  <si>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</si>
  <si>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</si>
  <si>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</si>
  <si>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</si>
  <si>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</si>
  <si>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</si>
  <si>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</si>
  <si>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</si>
  <si>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</si>
  <si>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</si>
  <si>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</si>
  <si>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</si>
  <si>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</si>
  <si>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</si>
  <si>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</si>
  <si>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</si>
  <si>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</si>
  <si>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</si>
  <si>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</si>
  <si>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</si>
  <si>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</si>
  <si>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</si>
  <si>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</si>
  <si>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</si>
  <si>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</si>
  <si>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</si>
  <si>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</si>
  <si>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</si>
  <si>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</si>
  <si>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</si>
  <si>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</si>
  <si>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</si>
  <si>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</si>
  <si>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</si>
  <si>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</si>
  <si>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</si>
  <si>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</si>
  <si>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</si>
  <si>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</si>
  <si>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</si>
  <si>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</si>
  <si>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</si>
  <si>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</si>
  <si>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</si>
  <si>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</si>
  <si>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</si>
  <si>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</si>
  <si>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</si>
  <si>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</si>
  <si>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</si>
  <si>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</si>
  <si>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</si>
  <si>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</si>
  <si>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</si>
  <si>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</si>
  <si>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</si>
  <si>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</si>
  <si>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</si>
  <si>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</si>
  <si>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</si>
  <si>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</si>
  <si>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</si>
  <si>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</si>
  <si>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</si>
  <si>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</si>
  <si>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</si>
  <si>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</si>
  <si>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</si>
  <si>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</si>
  <si>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</si>
  <si>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</si>
  <si>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</si>
  <si>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</si>
  <si>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</si>
  <si>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</si>
  <si>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</si>
  <si>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</si>
  <si>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</si>
  <si>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</si>
  <si>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</si>
  <si>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</si>
  <si>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</si>
  <si>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</si>
  <si>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</si>
  <si>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</si>
  <si>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</si>
  <si>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</si>
  <si>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</si>
  <si>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</si>
  <si>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</si>
  <si>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</si>
  <si>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</si>
  <si>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</si>
  <si>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</si>
  <si>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</si>
  <si>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</si>
  <si>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</si>
  <si>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</si>
  <si>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</si>
  <si>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</si>
  <si>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</si>
  <si>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</si>
  <si>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</si>
  <si>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</si>
  <si>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</si>
  <si>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</si>
  <si>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</si>
  <si>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</si>
  <si>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</si>
  <si>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</si>
  <si>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</si>
  <si>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</si>
  <si>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</si>
  <si>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</si>
  <si>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</si>
  <si>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</si>
  <si>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</si>
  <si>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</si>
  <si>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</si>
  <si>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</si>
  <si>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</si>
  <si>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</si>
  <si>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</si>
  <si>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</si>
  <si>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</si>
  <si>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</si>
  <si>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</si>
  <si>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</si>
  <si>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</si>
  <si>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</si>
  <si>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</si>
  <si>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</si>
  <si>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</si>
  <si>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</si>
  <si>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</si>
  <si>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</si>
  <si>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</si>
  <si>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</si>
  <si>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</si>
  <si>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</si>
  <si>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</si>
  <si>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</si>
  <si>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</si>
  <si>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</si>
  <si>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</si>
  <si>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</si>
  <si>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</si>
  <si>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</si>
  <si>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</si>
  <si>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</si>
  <si>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</si>
  <si>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</si>
  <si>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</si>
  <si>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</si>
  <si>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</si>
  <si>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</si>
  <si>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</si>
  <si>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</si>
  <si>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</si>
  <si>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</si>
  <si>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</si>
  <si>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</si>
  <si>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</si>
  <si>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</si>
  <si>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</si>
  <si>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</si>
  <si>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</si>
  <si>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</si>
  <si>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</si>
  <si>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</si>
  <si>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</si>
  <si>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</si>
  <si>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</si>
  <si>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</si>
  <si>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</si>
  <si>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</si>
  <si>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</si>
  <si>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</si>
  <si>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</si>
  <si>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</si>
  <si>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</si>
  <si>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</si>
  <si>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</si>
  <si>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</si>
  <si>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</si>
  <si>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</si>
  <si>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</si>
  <si>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</si>
  <si>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</si>
  <si>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</si>
  <si>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</si>
  <si>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</si>
  <si>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</si>
  <si>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</si>
  <si>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</si>
  <si>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</si>
  <si>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</si>
  <si>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</si>
  <si>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</si>
  <si>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</si>
  <si>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</si>
  <si>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</si>
  <si>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</si>
  <si>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</si>
  <si>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</si>
  <si>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</si>
  <si>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</si>
  <si>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</si>
  <si>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</si>
  <si>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</si>
  <si>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</si>
  <si>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</si>
  <si>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</si>
  <si>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</si>
  <si>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</si>
  <si>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</si>
  <si>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</si>
  <si>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</si>
  <si>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</si>
  <si>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</si>
  <si>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</si>
  <si>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</si>
  <si>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</si>
  <si>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</si>
  <si>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</si>
  <si>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</si>
  <si>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</si>
  <si>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</si>
  <si>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</si>
  <si>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</si>
  <si>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</si>
  <si>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</si>
  <si>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</si>
  <si>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</si>
  <si>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</si>
  <si>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</si>
  <si>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</si>
  <si>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</si>
  <si>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</si>
  <si>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</si>
  <si>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</si>
  <si>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</si>
  <si>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</si>
  <si>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</si>
  <si>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</si>
  <si>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</si>
  <si>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</si>
  <si>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</si>
  <si>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</si>
  <si>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</si>
  <si>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</si>
  <si>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</si>
  <si>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</si>
  <si>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</si>
  <si>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</si>
  <si>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</si>
  <si>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</si>
  <si>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</si>
  <si>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</si>
  <si>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</si>
  <si>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</si>
  <si>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</si>
  <si>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</si>
  <si>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</si>
  <si>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</si>
  <si>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</si>
  <si>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</si>
  <si>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</si>
  <si>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</si>
  <si>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</si>
  <si>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</si>
  <si>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</si>
  <si>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</si>
  <si>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</si>
  <si>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</si>
  <si>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</si>
  <si>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</si>
  <si>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</si>
  <si>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</si>
  <si>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</si>
  <si>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</si>
  <si>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</si>
  <si>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</si>
  <si>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</si>
  <si>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</si>
  <si>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</si>
  <si>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</si>
  <si>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</si>
  <si>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</si>
  <si>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</si>
  <si>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</si>
  <si>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</si>
  <si>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</si>
  <si>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</si>
  <si>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</si>
  <si>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</si>
  <si>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</si>
  <si>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</si>
  <si>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</si>
  <si>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</si>
  <si>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</si>
  <si>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</si>
  <si>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</si>
  <si>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</si>
  <si>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</si>
  <si>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</si>
  <si>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</si>
  <si>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</si>
  <si>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</si>
  <si>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</si>
  <si>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</si>
  <si>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</si>
  <si>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</si>
  <si>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</si>
  <si>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</si>
  <si>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</si>
  <si>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</si>
  <si>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</si>
  <si>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</si>
  <si>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</si>
  <si>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</si>
  <si>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</si>
  <si>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</si>
  <si>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</si>
  <si>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</si>
  <si>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</si>
  <si>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</si>
  <si>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</si>
  <si>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</si>
  <si>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</si>
  <si>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</si>
  <si>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</si>
  <si>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</si>
  <si>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</si>
  <si>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</si>
  <si>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</si>
  <si>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</si>
  <si>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</si>
  <si>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</si>
  <si>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</si>
  <si>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</si>
  <si>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</si>
  <si>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</si>
  <si>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</si>
  <si>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</si>
  <si>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</si>
  <si>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</si>
  <si>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</si>
  <si>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</si>
  <si>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</si>
  <si>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</si>
  <si>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</si>
  <si>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</si>
  <si>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</si>
  <si>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</si>
  <si>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</si>
  <si>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</si>
  <si>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</si>
  <si>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</si>
  <si>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</si>
  <si>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</si>
  <si>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</si>
  <si>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</si>
  <si>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</si>
  <si>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</si>
  <si>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</si>
  <si>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</si>
  <si>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</si>
  <si>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</si>
  <si>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</si>
  <si>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</si>
  <si>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</si>
  <si>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</si>
  <si>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</si>
  <si>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</si>
  <si>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</si>
  <si>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</si>
  <si>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</si>
  <si>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</si>
  <si>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</si>
  <si>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</si>
  <si>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</si>
  <si>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</si>
  <si>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</si>
  <si>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</si>
  <si>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</si>
  <si>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</si>
  <si>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</si>
  <si>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</si>
  <si>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</si>
  <si>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</si>
  <si>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</si>
  <si>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</si>
  <si>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</si>
  <si>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</si>
  <si>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</si>
  <si>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</si>
  <si>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</si>
  <si>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</si>
  <si>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</si>
  <si>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</si>
  <si>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</si>
  <si>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</si>
  <si>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</si>
  <si>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</si>
  <si>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</si>
  <si>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</si>
  <si>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</si>
  <si>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</si>
  <si>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</si>
  <si>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</si>
  <si>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</si>
  <si>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</si>
  <si>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</si>
  <si>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</si>
  <si>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</si>
  <si>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</si>
  <si>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</si>
  <si>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</si>
  <si>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</si>
  <si>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</si>
  <si>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</si>
  <si>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</si>
  <si>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</si>
  <si>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</si>
  <si>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</si>
  <si>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</si>
  <si>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</si>
  <si>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</si>
  <si>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</si>
  <si>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</si>
  <si>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</si>
  <si>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</si>
  <si>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</si>
  <si>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</si>
  <si>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</si>
  <si>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</si>
  <si>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</si>
  <si>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</si>
  <si>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</si>
  <si>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</si>
  <si>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</si>
  <si>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</si>
  <si>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</si>
  <si>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</si>
  <si>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</si>
  <si>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</si>
  <si>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</si>
  <si>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</si>
  <si>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</si>
  <si>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</si>
  <si>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</si>
  <si>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</si>
  <si>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</si>
  <si>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</si>
  <si>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</si>
  <si>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</si>
  <si>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</si>
  <si>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</si>
  <si>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</si>
  <si>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</si>
  <si>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</si>
  <si>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</si>
  <si>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</si>
  <si>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</si>
  <si>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</si>
  <si>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</si>
  <si>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</si>
  <si>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</si>
  <si>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</si>
  <si>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</si>
  <si>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</si>
  <si>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</si>
  <si>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</si>
  <si>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</si>
  <si>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</si>
  <si>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</si>
  <si>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</si>
  <si>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</si>
  <si>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</si>
  <si>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</si>
  <si>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</si>
  <si>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</si>
  <si>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</si>
  <si>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</si>
  <si>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</si>
  <si>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</si>
  <si>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</si>
  <si>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</si>
  <si>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</si>
  <si>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</si>
  <si>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</si>
  <si>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</si>
  <si>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</si>
  <si>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</si>
  <si>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</si>
  <si>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</si>
  <si>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</si>
  <si>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</si>
  <si>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</si>
  <si>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</si>
  <si>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</si>
  <si>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</si>
  <si>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</si>
  <si>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</si>
  <si>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</si>
  <si>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</si>
  <si>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</si>
  <si>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</si>
  <si>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</si>
  <si>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</si>
  <si>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</si>
  <si>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</si>
  <si>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</si>
  <si>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</si>
  <si>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</si>
  <si>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</si>
  <si>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</si>
  <si>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</si>
  <si>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</si>
  <si>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</si>
  <si>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</si>
  <si>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</si>
  <si>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</si>
  <si>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</si>
  <si>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</si>
  <si>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</si>
  <si>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</si>
  <si>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</si>
  <si>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</si>
  <si>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</si>
  <si>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Proyecto Ejecutivo y Replanteo</t>
  </si>
  <si>
    <t>Departamento de Chimbas</t>
  </si>
  <si>
    <t>“ILUMINACIÓN RUTA PROVINCIAL N°262 DESDE RN Nº 20 HASTA AV. DE LOS RIOS – DPTO CAUCETE”</t>
  </si>
  <si>
    <t>Cj</t>
  </si>
  <si>
    <t>Licitación Privada 04/22</t>
  </si>
  <si>
    <t>41.897.540,18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</si>
</sst>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quot;$&quot;* #,##0.00_-;_-&quot;$&quot;* &quot;-&quot;??_-;_-@_-"/>
    <numFmt numFmtId="43" formatCode="_-* #,##0.00_-;\-* #,##0.00_-;_-* &quot;-&quot;??_-;_-@_-"/>
    <numFmt numFmtId="164" formatCode="_-&quot;$&quot;\ * #,##0.00_-;\-&quot;$&quot;\ * #,##0.00_-;_-&quot;$&quot;\ *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4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9" fillId="0" borderId="0" applyFont="0" applyFill="0" applyBorder="0" applyAlignment="0" applyProtection="0"/>
  </cellStyleXfs>
  <cellXfs count="39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4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44"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PTyCI!$E$28:$I$28</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PTyCI!$E$29:$I$29</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823895904"/>
        <c:axId val="-1823899168"/>
      </c:lineChart>
      <c:catAx>
        <c:axId val="-18238959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1823899168"/>
        <c:crossesAt val="0"/>
        <c:auto val="1"/>
        <c:lblAlgn val="ctr"/>
        <c:lblOffset val="100"/>
        <c:noMultiLvlLbl val="0"/>
      </c:catAx>
      <c:valAx>
        <c:axId val="-18238991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pt-PT"/>
          </a:p>
        </c:txPr>
        <c:crossAx val="-18238959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PTyCI!$E$31:$I$31</c:f>
              <c:numCache>
                <c:formatCode>_("$"* #,##0.00_);_("$"* \(#,##0.00\);_("$"*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PTyCI!$E$32:$I$32</c:f>
              <c:numCache>
                <c:formatCode>_("$"* #,##0.00_);_("$"* \(#,##0.00\);_("$"*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23889920"/>
        <c:axId val="-1983219216"/>
      </c:lineChart>
      <c:catAx>
        <c:axId val="-182388992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1983219216"/>
        <c:crosses val="autoZero"/>
        <c:auto val="1"/>
        <c:lblAlgn val="ctr"/>
        <c:lblOffset val="100"/>
        <c:noMultiLvlLbl val="0"/>
      </c:catAx>
      <c:valAx>
        <c:axId val="-19832192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238899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5" t="s">
        <v>318</v>
      </c>
      <c r="B3" s="221" t="s">
        <v>48</v>
      </c>
      <c r="C3" s="222"/>
      <c r="D3" s="222"/>
      <c r="E3" s="345" t="s">
        <v>49</v>
      </c>
    </row>
    <row r="4" spans="1:5" ht="15" customHeight="1" x14ac:dyDescent="0.2">
      <c r="A4" s="345"/>
      <c r="B4" s="221" t="s">
        <v>50</v>
      </c>
      <c r="C4" s="222"/>
      <c r="D4" s="222"/>
      <c r="E4" s="345"/>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5" t="s">
        <v>318</v>
      </c>
      <c r="B225" s="345" t="s">
        <v>48</v>
      </c>
      <c r="C225" s="345"/>
      <c r="D225" s="345"/>
      <c r="E225" s="345" t="s">
        <v>49</v>
      </c>
    </row>
    <row r="226" spans="1:5" ht="15" customHeight="1" x14ac:dyDescent="0.2">
      <c r="A226" s="345"/>
      <c r="B226" s="345" t="s">
        <v>50</v>
      </c>
      <c r="C226" s="345"/>
      <c r="D226" s="345"/>
      <c r="E226" s="345"/>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5" t="s">
        <v>318</v>
      </c>
      <c r="B237" s="345" t="s">
        <v>48</v>
      </c>
      <c r="C237" s="345"/>
      <c r="D237" s="345"/>
      <c r="E237" s="345" t="s">
        <v>307</v>
      </c>
    </row>
    <row r="238" spans="1:5" ht="15" customHeight="1" x14ac:dyDescent="0.2">
      <c r="A238" s="345"/>
      <c r="B238" s="345"/>
      <c r="C238" s="345"/>
      <c r="D238" s="345"/>
      <c r="E238" s="345"/>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5" t="s">
        <v>318</v>
      </c>
      <c r="B264" s="345" t="s">
        <v>48</v>
      </c>
      <c r="C264" s="345"/>
      <c r="D264" s="345"/>
      <c r="E264" s="345" t="s">
        <v>307</v>
      </c>
    </row>
    <row r="265" spans="1:496" ht="15" customHeight="1" x14ac:dyDescent="0.2">
      <c r="A265" s="345"/>
      <c r="B265" s="345"/>
      <c r="C265" s="345"/>
      <c r="D265" s="345"/>
      <c r="E265" s="345"/>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5" t="s">
        <v>318</v>
      </c>
      <c r="B273" s="345" t="s">
        <v>48</v>
      </c>
      <c r="C273" s="345"/>
      <c r="D273" s="345"/>
      <c r="E273" s="345" t="s">
        <v>320</v>
      </c>
    </row>
    <row r="274" spans="1:496" ht="15" customHeight="1" x14ac:dyDescent="0.2">
      <c r="A274" s="345"/>
      <c r="B274" s="345" t="s">
        <v>50</v>
      </c>
      <c r="C274" s="345"/>
      <c r="D274" s="345"/>
      <c r="E274" s="345"/>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5" t="s">
        <v>318</v>
      </c>
      <c r="B288" s="345" t="s">
        <v>48</v>
      </c>
      <c r="C288" s="345"/>
      <c r="D288" s="345"/>
      <c r="E288" s="345" t="s">
        <v>329</v>
      </c>
    </row>
    <row r="289" spans="1:5" ht="15" customHeight="1" x14ac:dyDescent="0.2">
      <c r="A289" s="345"/>
      <c r="B289" s="345" t="s">
        <v>50</v>
      </c>
      <c r="C289" s="345"/>
      <c r="D289" s="345"/>
      <c r="E289" s="345"/>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5" t="s">
        <v>318</v>
      </c>
      <c r="B303" s="345" t="s">
        <v>48</v>
      </c>
      <c r="C303" s="345"/>
      <c r="D303" s="345"/>
      <c r="E303" s="345" t="s">
        <v>49</v>
      </c>
    </row>
    <row r="304" spans="1:5" ht="15" customHeight="1" x14ac:dyDescent="0.2">
      <c r="A304" s="345"/>
      <c r="B304" s="345" t="s">
        <v>50</v>
      </c>
      <c r="C304" s="345"/>
      <c r="D304" s="345"/>
      <c r="E304" s="345"/>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5" t="s">
        <v>318</v>
      </c>
      <c r="B450" s="345" t="s">
        <v>452</v>
      </c>
      <c r="C450" s="345"/>
      <c r="D450" s="345"/>
      <c r="E450" s="345" t="s">
        <v>49</v>
      </c>
    </row>
    <row r="451" spans="1:5" ht="15" customHeight="1" x14ac:dyDescent="0.2">
      <c r="A451" s="345"/>
      <c r="B451" s="345" t="s">
        <v>453</v>
      </c>
      <c r="C451" s="345"/>
      <c r="D451" s="345"/>
      <c r="E451" s="345"/>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5" t="s">
        <v>252</v>
      </c>
      <c r="C487" s="222"/>
      <c r="D487" s="222"/>
      <c r="E487" s="345" t="s">
        <v>253</v>
      </c>
    </row>
    <row r="488" spans="1:5" ht="15" customHeight="1" x14ac:dyDescent="0.2">
      <c r="A488" s="222"/>
      <c r="B488" s="345"/>
      <c r="C488" s="222"/>
      <c r="D488" s="222"/>
      <c r="E488" s="345"/>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5" t="s">
        <v>252</v>
      </c>
      <c r="C511" s="222"/>
      <c r="D511" s="222"/>
      <c r="E511" s="345" t="s">
        <v>253</v>
      </c>
    </row>
    <row r="512" spans="1:5" ht="15" customHeight="1" x14ac:dyDescent="0.2">
      <c r="A512" s="222"/>
      <c r="B512" s="345"/>
      <c r="C512" s="222"/>
      <c r="D512" s="222"/>
      <c r="E512" s="345"/>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5" t="s">
        <v>318</v>
      </c>
      <c r="B530" s="345" t="s">
        <v>48</v>
      </c>
      <c r="C530" s="345"/>
      <c r="D530" s="345"/>
      <c r="E530" s="345" t="s">
        <v>49</v>
      </c>
    </row>
    <row r="531" spans="1:5" ht="15" customHeight="1" x14ac:dyDescent="0.2">
      <c r="A531" s="345"/>
      <c r="B531" s="345" t="s">
        <v>50</v>
      </c>
      <c r="C531" s="345"/>
      <c r="D531" s="345"/>
      <c r="E531" s="345"/>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41"/>
      <c r="D99" s="83" t="s">
        <v>1228</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3"/>
        <v xml:space="preserve">Conductores eléctricos                                                 </v>
      </c>
    </row>
    <row r="121" spans="1:5" x14ac:dyDescent="0.2">
      <c r="A121" s="83" t="s">
        <v>1369</v>
      </c>
      <c r="B121" s="81" t="s">
        <v>1275</v>
      </c>
      <c r="C121" s="341"/>
      <c r="D121" s="83" t="s">
        <v>1228</v>
      </c>
      <c r="E121" s="83" t="str">
        <f t="shared" si="3"/>
        <v xml:space="preserve">Conductores eléctricos                                                 </v>
      </c>
    </row>
    <row r="122" spans="1:5" x14ac:dyDescent="0.2">
      <c r="A122" s="83" t="s">
        <v>1370</v>
      </c>
      <c r="B122" s="81" t="s">
        <v>1275</v>
      </c>
      <c r="C122" s="341"/>
      <c r="D122" s="83" t="s">
        <v>1228</v>
      </c>
      <c r="E122" s="83" t="str">
        <f t="shared" si="3"/>
        <v xml:space="preserve">Conductores eléctricos                                                 </v>
      </c>
    </row>
    <row r="123" spans="1:5" x14ac:dyDescent="0.2">
      <c r="A123" s="83" t="s">
        <v>1371</v>
      </c>
      <c r="B123" s="81" t="s">
        <v>1445</v>
      </c>
      <c r="C123" s="341"/>
      <c r="D123" s="83" t="s">
        <v>1228</v>
      </c>
      <c r="E123" s="83" t="str">
        <f t="shared" si="3"/>
        <v xml:space="preserve">Conductores eléctricos                                                 </v>
      </c>
    </row>
    <row r="124" spans="1:5" x14ac:dyDescent="0.2">
      <c r="A124" s="83" t="s">
        <v>1372</v>
      </c>
      <c r="B124" s="81" t="s">
        <v>1275</v>
      </c>
      <c r="C124" s="341"/>
      <c r="D124" s="83" t="s">
        <v>1228</v>
      </c>
      <c r="E124" s="83" t="str">
        <f t="shared" si="3"/>
        <v xml:space="preserve">Conductores eléctricos                                                 </v>
      </c>
    </row>
    <row r="125" spans="1:5" x14ac:dyDescent="0.2">
      <c r="A125" s="83" t="s">
        <v>1373</v>
      </c>
      <c r="B125" s="81" t="s">
        <v>1445</v>
      </c>
      <c r="C125" s="341"/>
      <c r="D125" s="83" t="s">
        <v>1228</v>
      </c>
      <c r="E125" s="83" t="str">
        <f t="shared" si="3"/>
        <v xml:space="preserve">Conductores eléctricos                                                 </v>
      </c>
    </row>
    <row r="126" spans="1:5" x14ac:dyDescent="0.2">
      <c r="A126" s="83" t="s">
        <v>1342</v>
      </c>
      <c r="B126" s="81" t="s">
        <v>1275</v>
      </c>
      <c r="C126" s="341"/>
      <c r="D126" s="83" t="s">
        <v>1228</v>
      </c>
      <c r="E126" s="83" t="str">
        <f t="shared" si="3"/>
        <v xml:space="preserve">Conductores eléctricos                                                 </v>
      </c>
    </row>
    <row r="127" spans="1:5" x14ac:dyDescent="0.2">
      <c r="A127" s="83" t="s">
        <v>1374</v>
      </c>
      <c r="B127" s="81" t="s">
        <v>1218</v>
      </c>
      <c r="C127" s="341"/>
      <c r="D127" s="83" t="s">
        <v>1220</v>
      </c>
      <c r="E127" s="83" t="str">
        <f t="shared" si="3"/>
        <v>Camión volcador</v>
      </c>
    </row>
    <row r="128" spans="1:5" x14ac:dyDescent="0.2">
      <c r="A128" s="83" t="s">
        <v>1375</v>
      </c>
      <c r="B128" s="81" t="s">
        <v>1218</v>
      </c>
      <c r="C128" s="341"/>
      <c r="D128" s="83" t="s">
        <v>1220</v>
      </c>
      <c r="E128" s="83" t="str">
        <f t="shared" si="3"/>
        <v>Camión volcador</v>
      </c>
    </row>
    <row r="129" spans="1:5" x14ac:dyDescent="0.2">
      <c r="A129" s="83" t="s">
        <v>1376</v>
      </c>
      <c r="B129" s="81" t="s">
        <v>1277</v>
      </c>
      <c r="C129" s="341"/>
      <c r="D129" s="83" t="s">
        <v>1220</v>
      </c>
      <c r="E129" s="83" t="str">
        <f t="shared" si="3"/>
        <v>Camión volcador</v>
      </c>
    </row>
    <row r="130" spans="1:5" x14ac:dyDescent="0.2">
      <c r="A130" s="83" t="s">
        <v>1377</v>
      </c>
      <c r="B130" s="81" t="s">
        <v>1446</v>
      </c>
      <c r="C130" s="341"/>
      <c r="D130" s="83" t="s">
        <v>1226</v>
      </c>
      <c r="E130" s="83" t="str">
        <f t="shared" si="3"/>
        <v>Camioneta</v>
      </c>
    </row>
    <row r="131" spans="1:5" x14ac:dyDescent="0.2">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4"/>
        <v xml:space="preserve">Grupos electrógenos                                                    </v>
      </c>
    </row>
    <row r="153" spans="1:5" x14ac:dyDescent="0.2">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4"/>
        <v xml:space="preserve">Herramientas de mano                                                   </v>
      </c>
    </row>
    <row r="160" spans="1:5" x14ac:dyDescent="0.2">
      <c r="A160" s="83" t="s">
        <v>1400</v>
      </c>
      <c r="B160" s="81" t="s">
        <v>1218</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1218</v>
      </c>
      <c r="C162" s="341"/>
      <c r="D162" s="83" t="s">
        <v>1327</v>
      </c>
      <c r="E162" s="83" t="str">
        <f t="shared" si="4"/>
        <v>Equipo - Amortización de equipo</v>
      </c>
    </row>
    <row r="163" spans="1:5" x14ac:dyDescent="0.2">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1220</v>
      </c>
      <c r="E196" s="83" t="str">
        <f t="shared" si="4"/>
        <v>Camión volcador</v>
      </c>
    </row>
    <row r="197" spans="1:5" x14ac:dyDescent="0.2">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1220</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zoomScaleNormal="100" zoomScaleSheetLayoutView="90" workbookViewId="0">
      <selection activeCell="C7" sqref="C7"/>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6" t="s">
        <v>1013</v>
      </c>
      <c r="B1" s="346"/>
      <c r="C1" s="346"/>
      <c r="D1" s="346"/>
      <c r="E1" s="346"/>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1474</v>
      </c>
      <c r="D3" s="134"/>
      <c r="E3" s="104" t="s">
        <v>1216</v>
      </c>
      <c r="F3" s="107"/>
      <c r="J3" s="107"/>
    </row>
    <row r="4" spans="1:10" s="105" customFormat="1" ht="20.100000000000001" customHeight="1" x14ac:dyDescent="0.2">
      <c r="A4" s="104" t="s">
        <v>16</v>
      </c>
      <c r="C4" s="108" t="s">
        <v>1473</v>
      </c>
      <c r="D4" s="134"/>
      <c r="E4" s="106"/>
      <c r="F4" s="270"/>
      <c r="J4" s="107"/>
    </row>
    <row r="5" spans="1:10" s="105" customFormat="1" ht="20.100000000000001" customHeight="1" x14ac:dyDescent="0.2">
      <c r="A5" s="104" t="s">
        <v>15</v>
      </c>
      <c r="C5" s="338" t="s">
        <v>1476</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t="s">
        <v>1477</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120</v>
      </c>
      <c r="D10" s="135"/>
    </row>
    <row r="11" spans="1:10" s="105" customFormat="1" ht="20.100000000000001" customHeight="1" x14ac:dyDescent="0.2">
      <c r="B11" s="104"/>
      <c r="C11" s="113"/>
      <c r="D11" s="135"/>
    </row>
    <row r="12" spans="1:10" ht="20.100000000000001" customHeight="1" x14ac:dyDescent="0.2">
      <c r="A12" s="346" t="s">
        <v>1014</v>
      </c>
      <c r="B12" s="346"/>
      <c r="C12" s="346"/>
      <c r="D12" s="346"/>
      <c r="E12" s="346"/>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0" t="s">
        <v>1032</v>
      </c>
      <c r="C21" s="351"/>
      <c r="D21" s="351"/>
      <c r="E21" s="352"/>
      <c r="F21" s="96"/>
      <c r="J21" s="96"/>
    </row>
    <row r="23" spans="1:10" ht="20.100000000000001" customHeight="1" x14ac:dyDescent="0.2">
      <c r="B23" s="353" t="s">
        <v>991</v>
      </c>
      <c r="C23" s="347" t="s">
        <v>0</v>
      </c>
      <c r="D23" s="354" t="s">
        <v>1</v>
      </c>
      <c r="E23" s="353" t="s">
        <v>2</v>
      </c>
      <c r="F23" s="139"/>
      <c r="G23" s="347" t="s">
        <v>1035</v>
      </c>
      <c r="H23" s="347"/>
      <c r="I23" s="260"/>
      <c r="J23" s="348" t="s">
        <v>1034</v>
      </c>
    </row>
    <row r="24" spans="1:10" ht="20.100000000000001" customHeight="1" x14ac:dyDescent="0.2">
      <c r="B24" s="353"/>
      <c r="C24" s="347"/>
      <c r="D24" s="354"/>
      <c r="E24" s="353"/>
      <c r="F24" s="139"/>
      <c r="G24" s="131" t="s">
        <v>1036</v>
      </c>
      <c r="H24" s="131" t="s">
        <v>1</v>
      </c>
      <c r="I24" s="261"/>
      <c r="J24" s="349"/>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56" si="0">IFERROR(VLOOKUP(J26,Tabla_Items,2,FALSE),G26)</f>
        <v>Proyecto Ejecutivo y Replanteo</v>
      </c>
      <c r="D26" s="138" t="str">
        <f t="shared" ref="D26:D56" si="1">IFERROR(VLOOKUP(J26,Tabla_Items,3,FALSE),H26)</f>
        <v>Gl</v>
      </c>
      <c r="E26" s="115">
        <v>1</v>
      </c>
      <c r="F26" s="204"/>
      <c r="G26" s="205" t="s">
        <v>1472</v>
      </c>
      <c r="H26" s="263" t="s">
        <v>1242</v>
      </c>
      <c r="I26" s="132"/>
      <c r="J26" s="205"/>
    </row>
    <row r="27" spans="1:10" ht="20.100000000000001" customHeight="1" x14ac:dyDescent="0.2">
      <c r="A27" s="91">
        <f t="shared" ref="A27:A89" si="2">IF(D27=0,0,A26+1)</f>
        <v>2</v>
      </c>
      <c r="B27" s="140">
        <v>2</v>
      </c>
      <c r="C27" s="89" t="str">
        <f t="shared" si="0"/>
        <v>Base completa para columna simple</v>
      </c>
      <c r="D27" s="138" t="str">
        <f t="shared" si="1"/>
        <v>Un</v>
      </c>
      <c r="E27" s="116">
        <v>90</v>
      </c>
      <c r="F27" s="206"/>
      <c r="G27" s="205" t="s">
        <v>1462</v>
      </c>
      <c r="H27" s="263" t="s">
        <v>1471</v>
      </c>
      <c r="I27" s="132"/>
      <c r="J27" s="205"/>
    </row>
    <row r="28" spans="1:10" ht="20.100000000000001" customHeight="1" x14ac:dyDescent="0.2">
      <c r="A28" s="91">
        <f t="shared" si="2"/>
        <v>3</v>
      </c>
      <c r="B28" s="140">
        <v>3</v>
      </c>
      <c r="C28" s="89" t="str">
        <f t="shared" si="0"/>
        <v>Base completa para columna doble</v>
      </c>
      <c r="D28" s="138" t="str">
        <f t="shared" si="1"/>
        <v>Un</v>
      </c>
      <c r="E28" s="116">
        <v>11</v>
      </c>
      <c r="F28" s="206"/>
      <c r="G28" s="205" t="s">
        <v>1463</v>
      </c>
      <c r="H28" s="263" t="s">
        <v>1471</v>
      </c>
      <c r="I28" s="132"/>
      <c r="J28" s="205"/>
    </row>
    <row r="29" spans="1:10" ht="20.100000000000001" customHeight="1" x14ac:dyDescent="0.2">
      <c r="A29" s="91">
        <f t="shared" si="2"/>
        <v>4</v>
      </c>
      <c r="B29" s="140">
        <v>4</v>
      </c>
      <c r="C29" s="89" t="str">
        <f t="shared" si="0"/>
        <v>Luminaria LED de potencia según pliego</v>
      </c>
      <c r="D29" s="138" t="str">
        <f t="shared" si="1"/>
        <v>Un</v>
      </c>
      <c r="E29" s="116">
        <v>101</v>
      </c>
      <c r="F29" s="206"/>
      <c r="G29" s="205" t="s">
        <v>1464</v>
      </c>
      <c r="H29" s="263" t="s">
        <v>1471</v>
      </c>
      <c r="I29" s="132"/>
      <c r="J29" s="205"/>
    </row>
    <row r="30" spans="1:10" ht="20.100000000000001" customHeight="1" x14ac:dyDescent="0.2">
      <c r="A30" s="91">
        <f t="shared" si="2"/>
        <v>5</v>
      </c>
      <c r="B30" s="140">
        <v>5</v>
      </c>
      <c r="C30" s="89" t="str">
        <f t="shared" si="0"/>
        <v>Columnas metálicas con brazo</v>
      </c>
      <c r="D30" s="138" t="str">
        <f t="shared" si="1"/>
        <v>Un</v>
      </c>
      <c r="E30" s="116">
        <v>90</v>
      </c>
      <c r="F30" s="206"/>
      <c r="G30" s="205" t="s">
        <v>1470</v>
      </c>
      <c r="H30" s="263" t="s">
        <v>1471</v>
      </c>
      <c r="I30" s="132"/>
      <c r="J30" s="205"/>
    </row>
    <row r="31" spans="1:10" ht="20.100000000000001" customHeight="1" x14ac:dyDescent="0.2">
      <c r="A31" s="91">
        <f t="shared" si="2"/>
        <v>6</v>
      </c>
      <c r="B31" s="140">
        <v>6</v>
      </c>
      <c r="C31" s="89" t="str">
        <f t="shared" si="0"/>
        <v>Columnas metálicas doble con brazo</v>
      </c>
      <c r="D31" s="138" t="str">
        <f t="shared" si="1"/>
        <v>Un</v>
      </c>
      <c r="E31" s="116">
        <v>11</v>
      </c>
      <c r="F31" s="206"/>
      <c r="G31" s="205" t="s">
        <v>1465</v>
      </c>
      <c r="H31" s="263" t="s">
        <v>1471</v>
      </c>
      <c r="I31" s="132"/>
      <c r="J31" s="205"/>
    </row>
    <row r="32" spans="1:10" ht="20.100000000000001" customHeight="1" x14ac:dyDescent="0.2">
      <c r="A32" s="91">
        <f t="shared" si="2"/>
        <v>7</v>
      </c>
      <c r="B32" s="140">
        <v>7</v>
      </c>
      <c r="C32" s="89" t="str">
        <f t="shared" si="0"/>
        <v>Conductor preensamblado de aluminio</v>
      </c>
      <c r="D32" s="138" t="str">
        <f t="shared" si="1"/>
        <v>m</v>
      </c>
      <c r="E32" s="116">
        <v>2650</v>
      </c>
      <c r="F32" s="206"/>
      <c r="G32" s="205" t="s">
        <v>1466</v>
      </c>
      <c r="H32" s="263" t="s">
        <v>1251</v>
      </c>
      <c r="I32" s="132"/>
      <c r="J32" s="205"/>
    </row>
    <row r="33" spans="1:10" ht="20.100000000000001" customHeight="1" x14ac:dyDescent="0.2">
      <c r="A33" s="91">
        <f t="shared" si="2"/>
        <v>8</v>
      </c>
      <c r="B33" s="140">
        <v>8</v>
      </c>
      <c r="C33" s="89" t="str">
        <f t="shared" si="0"/>
        <v>Puesta a tierra completa</v>
      </c>
      <c r="D33" s="138" t="str">
        <f t="shared" si="1"/>
        <v>Cj</v>
      </c>
      <c r="E33" s="116">
        <v>101</v>
      </c>
      <c r="F33" s="206"/>
      <c r="G33" s="205" t="s">
        <v>1467</v>
      </c>
      <c r="H33" s="263" t="s">
        <v>1475</v>
      </c>
      <c r="I33" s="132"/>
      <c r="J33" s="205"/>
    </row>
    <row r="34" spans="1:10" ht="20.100000000000001" customHeight="1" x14ac:dyDescent="0.2">
      <c r="A34" s="91">
        <f t="shared" si="2"/>
        <v>9</v>
      </c>
      <c r="B34" s="140">
        <v>9</v>
      </c>
      <c r="C34" s="89" t="str">
        <f>IFERROR(VLOOKUP(J34,Tabla_Items,2,FALSE),G34)</f>
        <v>Estructuras de alineación, retención y terminal para cable preensamblado</v>
      </c>
      <c r="D34" s="138" t="str">
        <f t="shared" si="1"/>
        <v>Cj</v>
      </c>
      <c r="E34" s="116">
        <v>101</v>
      </c>
      <c r="F34" s="206"/>
      <c r="G34" s="205" t="s">
        <v>1468</v>
      </c>
      <c r="H34" s="263" t="s">
        <v>1475</v>
      </c>
      <c r="I34" s="132"/>
      <c r="J34" s="205"/>
    </row>
    <row r="35" spans="1:10" ht="20.100000000000001" customHeight="1" x14ac:dyDescent="0.2">
      <c r="A35" s="91">
        <f t="shared" si="2"/>
        <v>10</v>
      </c>
      <c r="B35" s="140">
        <v>10</v>
      </c>
      <c r="C35" s="89" t="str">
        <f t="shared" si="0"/>
        <v>Tableros de comando y medición trifasicos completos</v>
      </c>
      <c r="D35" s="138" t="str">
        <f t="shared" si="1"/>
        <v>Cj</v>
      </c>
      <c r="E35" s="116">
        <v>3</v>
      </c>
      <c r="F35" s="206"/>
      <c r="G35" s="205" t="s">
        <v>1469</v>
      </c>
      <c r="H35" s="263" t="s">
        <v>1475</v>
      </c>
      <c r="I35" s="132"/>
      <c r="J35" s="205"/>
    </row>
    <row r="36" spans="1:10" ht="20.100000000000001" customHeight="1" x14ac:dyDescent="0.2">
      <c r="A36" s="91">
        <f t="shared" si="2"/>
        <v>0</v>
      </c>
      <c r="B36" s="140"/>
      <c r="C36" s="89">
        <f t="shared" si="0"/>
        <v>0</v>
      </c>
      <c r="D36" s="138">
        <f t="shared" si="1"/>
        <v>0</v>
      </c>
      <c r="E36" s="116"/>
      <c r="F36" s="206"/>
      <c r="G36" s="205"/>
      <c r="H36" s="263"/>
      <c r="I36" s="132"/>
      <c r="J36" s="205"/>
    </row>
    <row r="37" spans="1:10" ht="20.100000000000001" customHeight="1" x14ac:dyDescent="0.2">
      <c r="B37" s="140"/>
      <c r="C37" s="89">
        <f t="shared" si="0"/>
        <v>0</v>
      </c>
      <c r="D37" s="138"/>
      <c r="E37" s="116"/>
      <c r="F37" s="206"/>
      <c r="G37" s="205"/>
      <c r="H37" s="263"/>
      <c r="I37" s="132"/>
      <c r="J37" s="205"/>
    </row>
    <row r="38" spans="1:10" ht="20.100000000000001" customHeight="1" x14ac:dyDescent="0.2">
      <c r="A38" s="91">
        <f t="shared" si="2"/>
        <v>0</v>
      </c>
      <c r="B38" s="140"/>
      <c r="C38" s="89">
        <f t="shared" si="0"/>
        <v>0</v>
      </c>
      <c r="D38" s="138">
        <f t="shared" si="1"/>
        <v>0</v>
      </c>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IF(D45=0,0,A44+1)</f>
        <v>0</v>
      </c>
      <c r="B45" s="140"/>
      <c r="C45" s="89">
        <f t="shared" si="0"/>
        <v>0</v>
      </c>
      <c r="D45" s="138">
        <f t="shared" si="1"/>
        <v>0</v>
      </c>
      <c r="E45" s="116"/>
      <c r="F45" s="206"/>
      <c r="G45" s="205"/>
      <c r="H45" s="263"/>
      <c r="I45" s="132"/>
      <c r="J45" s="205"/>
    </row>
    <row r="46" spans="1:10" ht="20.100000000000001" customHeight="1" x14ac:dyDescent="0.2">
      <c r="A46" s="91">
        <f t="shared" si="2"/>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ref="C57:C88" si="3">IFERROR(VLOOKUP(J57,Tabla_Items,2,FALSE),G57)</f>
        <v>0</v>
      </c>
      <c r="D57" s="138">
        <f t="shared" ref="D57:D88" si="4">IFERROR(VLOOKUP(J57,Tabla_Items,3,FALSE),H57)</f>
        <v>0</v>
      </c>
      <c r="E57" s="116"/>
      <c r="F57" s="206"/>
      <c r="G57" s="205"/>
      <c r="H57" s="263"/>
      <c r="I57" s="132"/>
      <c r="J57" s="205"/>
    </row>
    <row r="58" spans="1:10" ht="20.100000000000001" customHeight="1" x14ac:dyDescent="0.2">
      <c r="A58" s="91">
        <f t="shared" si="2"/>
        <v>0</v>
      </c>
      <c r="B58" s="140"/>
      <c r="C58" s="89">
        <f t="shared" si="3"/>
        <v>0</v>
      </c>
      <c r="D58" s="138">
        <f t="shared" si="4"/>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ref="C89:C120" si="5">IFERROR(VLOOKUP(J89,Tabla_Items,2,FALSE),G89)</f>
        <v>0</v>
      </c>
      <c r="D89" s="138">
        <f t="shared" ref="D89:D120" si="6">IFERROR(VLOOKUP(J89,Tabla_Items,3,FALSE),H89)</f>
        <v>0</v>
      </c>
      <c r="E89" s="116"/>
      <c r="F89" s="206"/>
      <c r="G89" s="205"/>
      <c r="H89" s="263"/>
      <c r="I89" s="132"/>
      <c r="J89" s="205"/>
    </row>
    <row r="90" spans="1:10" ht="20.100000000000001" customHeight="1" x14ac:dyDescent="0.2">
      <c r="A90" s="91">
        <f t="shared" ref="A90:A153" si="7">IF(D90=0,0,A89+1)</f>
        <v>0</v>
      </c>
      <c r="B90" s="140"/>
      <c r="C90" s="89">
        <f t="shared" si="5"/>
        <v>0</v>
      </c>
      <c r="D90" s="138">
        <f t="shared" si="6"/>
        <v>0</v>
      </c>
      <c r="E90" s="116"/>
      <c r="F90" s="206"/>
      <c r="G90" s="205"/>
      <c r="H90" s="263"/>
      <c r="I90" s="132"/>
      <c r="J90" s="205"/>
    </row>
    <row r="91" spans="1:10" ht="20.100000000000001" customHeight="1" x14ac:dyDescent="0.2">
      <c r="A91" s="91">
        <f t="shared" si="7"/>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ref="C121:C152" si="8">IFERROR(VLOOKUP(J121,Tabla_Items,2,FALSE),G121)</f>
        <v>0</v>
      </c>
      <c r="D121" s="138">
        <f t="shared" ref="D121:D152" si="9">IFERROR(VLOOKUP(J121,Tabla_Items,3,FALSE),H121)</f>
        <v>0</v>
      </c>
      <c r="E121" s="116"/>
      <c r="F121" s="206"/>
      <c r="G121" s="205"/>
      <c r="H121" s="263"/>
      <c r="I121" s="132"/>
      <c r="J121" s="205"/>
    </row>
    <row r="122" spans="1:10" ht="20.100000000000001" customHeight="1" x14ac:dyDescent="0.2">
      <c r="A122" s="91">
        <f t="shared" si="7"/>
        <v>0</v>
      </c>
      <c r="B122" s="140"/>
      <c r="C122" s="89">
        <f t="shared" si="8"/>
        <v>0</v>
      </c>
      <c r="D122" s="138">
        <f t="shared" si="9"/>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ref="C153:C184" si="10">IFERROR(VLOOKUP(J153,Tabla_Items,2,FALSE),G153)</f>
        <v>0</v>
      </c>
      <c r="D153" s="138">
        <f t="shared" ref="D153:D184" si="11">IFERROR(VLOOKUP(J153,Tabla_Items,3,FALSE),H153)</f>
        <v>0</v>
      </c>
      <c r="E153" s="116"/>
      <c r="F153" s="206"/>
      <c r="G153" s="205"/>
      <c r="H153" s="263"/>
      <c r="I153" s="132"/>
      <c r="J153" s="205"/>
    </row>
    <row r="154" spans="1:10" ht="20.100000000000001" customHeight="1" x14ac:dyDescent="0.2">
      <c r="A154" s="91">
        <f t="shared" ref="A154:A217" si="12">IF(D154=0,0,A153+1)</f>
        <v>0</v>
      </c>
      <c r="B154" s="140"/>
      <c r="C154" s="89">
        <f t="shared" si="10"/>
        <v>0</v>
      </c>
      <c r="D154" s="138">
        <f t="shared" si="11"/>
        <v>0</v>
      </c>
      <c r="E154" s="116"/>
      <c r="F154" s="206"/>
      <c r="G154" s="205"/>
      <c r="H154" s="263"/>
      <c r="I154" s="132"/>
      <c r="J154" s="205"/>
    </row>
    <row r="155" spans="1:10" ht="20.100000000000001" customHeight="1" x14ac:dyDescent="0.2">
      <c r="A155" s="91">
        <f t="shared" si="12"/>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ref="C185:C216" si="13">IFERROR(VLOOKUP(J185,Tabla_Items,2,FALSE),G185)</f>
        <v>0</v>
      </c>
      <c r="D185" s="138">
        <f t="shared" ref="D185:D216" si="14">IFERROR(VLOOKUP(J185,Tabla_Items,3,FALSE),H185)</f>
        <v>0</v>
      </c>
      <c r="E185" s="116"/>
      <c r="F185" s="206"/>
      <c r="G185" s="205"/>
      <c r="H185" s="263"/>
      <c r="I185" s="132"/>
      <c r="J185" s="205"/>
    </row>
    <row r="186" spans="1:10" ht="20.100000000000001" customHeight="1" x14ac:dyDescent="0.2">
      <c r="A186" s="91">
        <f t="shared" si="12"/>
        <v>0</v>
      </c>
      <c r="B186" s="140"/>
      <c r="C186" s="89">
        <f t="shared" si="13"/>
        <v>0</v>
      </c>
      <c r="D186" s="138">
        <f t="shared" si="14"/>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ref="C217:C224" si="15">IFERROR(VLOOKUP(J217,Tabla_Items,2,FALSE),G217)</f>
        <v>0</v>
      </c>
      <c r="D217" s="138">
        <f t="shared" ref="D217:D224" si="16">IFERROR(VLOOKUP(J217,Tabla_Items,3,FALSE),H217)</f>
        <v>0</v>
      </c>
      <c r="E217" s="116"/>
      <c r="F217" s="206"/>
      <c r="G217" s="205"/>
      <c r="H217" s="263"/>
      <c r="I217" s="132"/>
      <c r="J217" s="205"/>
    </row>
    <row r="218" spans="1:10" ht="20.100000000000001" customHeight="1" x14ac:dyDescent="0.2">
      <c r="A218" s="91">
        <f t="shared" ref="A218:A224" si="17">IF(D218=0,0,A217+1)</f>
        <v>0</v>
      </c>
      <c r="B218" s="140"/>
      <c r="C218" s="89">
        <f t="shared" si="15"/>
        <v>0</v>
      </c>
      <c r="D218" s="138">
        <f t="shared" si="16"/>
        <v>0</v>
      </c>
      <c r="E218" s="116"/>
      <c r="F218" s="206"/>
      <c r="G218" s="205"/>
      <c r="H218" s="263"/>
      <c r="I218" s="132"/>
      <c r="J218" s="205"/>
    </row>
    <row r="219" spans="1:10" ht="20.100000000000001" customHeight="1" x14ac:dyDescent="0.2">
      <c r="A219" s="91">
        <f t="shared" si="17"/>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42" priority="23" stopIfTrue="1">
      <formula>#REF!=1</formula>
    </cfRule>
  </conditionalFormatting>
  <conditionalFormatting sqref="B26:B224">
    <cfRule type="expression" dxfId="141" priority="24" stopIfTrue="1">
      <formula>#REF!&gt;0</formula>
    </cfRule>
    <cfRule type="expression" dxfId="140" priority="25" stopIfTrue="1">
      <formula>#REF!&gt;0</formula>
    </cfRule>
    <cfRule type="expression" dxfId="139" priority="26" stopIfTrue="1">
      <formula>#REF!&gt;0</formula>
    </cfRule>
  </conditionalFormatting>
  <conditionalFormatting sqref="D15:D18">
    <cfRule type="expression" dxfId="138" priority="31" stopIfTrue="1">
      <formula>#REF!=1</formula>
    </cfRule>
  </conditionalFormatting>
  <conditionalFormatting sqref="C26:C224">
    <cfRule type="expression" dxfId="137" priority="7" stopIfTrue="1">
      <formula>#REF!&gt;0</formula>
    </cfRule>
    <cfRule type="expression" dxfId="136" priority="8" stopIfTrue="1">
      <formula>#REF!&gt;0</formula>
    </cfRule>
    <cfRule type="expression" dxfId="135"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34"/>
  <sheetViews>
    <sheetView showZeros="0" view="pageBreakPreview" topLeftCell="A4" zoomScaleNormal="100" zoomScaleSheetLayoutView="100" workbookViewId="0">
      <selection activeCell="B24" sqref="B24:C24"/>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101" customWidth="1"/>
    <col min="32" max="80" width="11.42578125" style="101"/>
    <col min="81" max="16384" width="11.42578125" style="9"/>
  </cols>
  <sheetData>
    <row r="1" spans="1:80" s="5" customFormat="1" ht="20.100000000000001" customHeight="1" x14ac:dyDescent="0.2">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
      <c r="A2" s="13" t="s">
        <v>12</v>
      </c>
      <c r="B2" s="13"/>
      <c r="C2" s="13" t="str">
        <f>Obra</f>
        <v>“ILUMINACIÓN RUTA PROVINCIAL N°262 DESDE RN Nº 20 HASTA AV. DE LOS RIOS – DPTO CAUCETE”</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
      <c r="A3" s="13" t="s">
        <v>16</v>
      </c>
      <c r="B3" s="13"/>
      <c r="C3" s="13" t="str">
        <f>Ubicación</f>
        <v>Departamento de Chimbas</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
      <c r="A4" s="13" t="s">
        <v>15</v>
      </c>
      <c r="B4" s="14"/>
      <c r="C4" s="77" t="str">
        <f>Licitación_N°</f>
        <v>Licitación Privada 04/22</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
      <c r="A5" s="13" t="s">
        <v>17</v>
      </c>
      <c r="B5" s="14"/>
      <c r="C5" s="78">
        <f>Plazo_Obra</f>
        <v>120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
      <c r="A8" s="361" t="s">
        <v>45</v>
      </c>
      <c r="B8" s="362"/>
      <c r="C8" s="362"/>
      <c r="D8" s="363"/>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
      <c r="A10" s="357" t="s">
        <v>991</v>
      </c>
      <c r="B10" s="355" t="s">
        <v>0</v>
      </c>
      <c r="C10" s="355"/>
      <c r="D10" s="358" t="s">
        <v>14</v>
      </c>
      <c r="E10" s="54"/>
      <c r="F10" s="355" t="s">
        <v>20</v>
      </c>
      <c r="G10" s="355"/>
      <c r="H10" s="355"/>
      <c r="I10" s="355"/>
      <c r="J10" s="17"/>
      <c r="K10" s="356" t="s">
        <v>19</v>
      </c>
    </row>
    <row r="11" spans="1:80" ht="20.100000000000001" customHeight="1" x14ac:dyDescent="0.2">
      <c r="A11" s="357"/>
      <c r="B11" s="355"/>
      <c r="C11" s="355"/>
      <c r="D11" s="358"/>
      <c r="E11" s="54">
        <v>0</v>
      </c>
      <c r="F11" s="26">
        <v>1</v>
      </c>
      <c r="G11" s="26">
        <f>F11+1</f>
        <v>2</v>
      </c>
      <c r="H11" s="26">
        <f t="shared" ref="H11:I11" si="0">G11+1</f>
        <v>3</v>
      </c>
      <c r="I11" s="26">
        <f t="shared" si="0"/>
        <v>4</v>
      </c>
      <c r="J11" s="18"/>
      <c r="K11" s="356"/>
    </row>
    <row r="12" spans="1:80" ht="20.100000000000001" customHeight="1" x14ac:dyDescent="0.2">
      <c r="A12" s="27"/>
      <c r="B12" s="59"/>
      <c r="C12" s="59"/>
      <c r="D12" s="60"/>
      <c r="E12" s="54"/>
      <c r="F12" s="28"/>
      <c r="G12" s="66"/>
      <c r="H12" s="66"/>
      <c r="I12" s="66"/>
      <c r="J12" s="18"/>
      <c r="K12" s="92"/>
    </row>
    <row r="13" spans="1:80" ht="20.100000000000001" customHeight="1" x14ac:dyDescent="0.2">
      <c r="A13" s="57">
        <f>CyP!A18</f>
        <v>1</v>
      </c>
      <c r="B13" s="359" t="str">
        <f t="shared" ref="B13:B21" si="1">IFERROR(VLOOKUP(A13,Tabla_CyP,2,FALSE),"")</f>
        <v>Proyecto Ejecutivo y Replanteo</v>
      </c>
      <c r="C13" s="360"/>
      <c r="D13" s="15">
        <f>IFERROR(VLOOKUP(A13,Tabla_CyP,9,FALSE),0)</f>
        <v>0</v>
      </c>
      <c r="E13" s="30"/>
      <c r="F13" s="97"/>
      <c r="G13" s="97"/>
      <c r="H13" s="97"/>
      <c r="I13" s="97"/>
      <c r="J13" s="19"/>
      <c r="K13" s="20"/>
    </row>
    <row r="14" spans="1:80" ht="20.100000000000001" customHeight="1" x14ac:dyDescent="0.2">
      <c r="A14" s="57">
        <f>CyP!A19</f>
        <v>2</v>
      </c>
      <c r="B14" s="359" t="str">
        <f t="shared" si="1"/>
        <v>Base completa para columna simple</v>
      </c>
      <c r="C14" s="360"/>
      <c r="D14" s="15">
        <f t="shared" ref="D14:D24" si="2">IFERROR(VLOOKUP(A14,Tabla_CyP,9,FALSE),0)</f>
        <v>0</v>
      </c>
      <c r="E14" s="55"/>
      <c r="F14" s="97"/>
      <c r="G14" s="97"/>
      <c r="H14" s="97"/>
      <c r="I14" s="97"/>
      <c r="J14" s="21"/>
      <c r="K14" s="20">
        <f t="shared" ref="K14:K25" si="3">SUM(F14:I14)</f>
        <v>0</v>
      </c>
    </row>
    <row r="15" spans="1:80" ht="20.100000000000001" customHeight="1" x14ac:dyDescent="0.2">
      <c r="A15" s="57">
        <f>CyP!A20</f>
        <v>3</v>
      </c>
      <c r="B15" s="359" t="str">
        <f t="shared" si="1"/>
        <v>Base completa para columna doble</v>
      </c>
      <c r="C15" s="360"/>
      <c r="D15" s="15">
        <f t="shared" si="2"/>
        <v>0</v>
      </c>
      <c r="E15" s="55"/>
      <c r="F15" s="97"/>
      <c r="G15" s="97"/>
      <c r="H15" s="97"/>
      <c r="I15" s="97"/>
      <c r="J15" s="21"/>
      <c r="K15" s="20">
        <f t="shared" si="3"/>
        <v>0</v>
      </c>
    </row>
    <row r="16" spans="1:80" ht="20.100000000000001" customHeight="1" x14ac:dyDescent="0.2">
      <c r="A16" s="57">
        <f>CyP!A21</f>
        <v>4</v>
      </c>
      <c r="B16" s="359" t="str">
        <f t="shared" si="1"/>
        <v>Luminaria LED de potencia según pliego</v>
      </c>
      <c r="C16" s="360"/>
      <c r="D16" s="15">
        <f t="shared" si="2"/>
        <v>0</v>
      </c>
      <c r="E16" s="55"/>
      <c r="F16" s="97"/>
      <c r="G16" s="97"/>
      <c r="H16" s="97"/>
      <c r="I16" s="97"/>
      <c r="J16" s="21"/>
      <c r="K16" s="20">
        <f t="shared" si="3"/>
        <v>0</v>
      </c>
    </row>
    <row r="17" spans="1:80" ht="20.100000000000001" customHeight="1" x14ac:dyDescent="0.2">
      <c r="A17" s="57">
        <f>CyP!A22</f>
        <v>5</v>
      </c>
      <c r="B17" s="359" t="str">
        <f t="shared" si="1"/>
        <v>Columnas metálicas con brazo</v>
      </c>
      <c r="C17" s="360"/>
      <c r="D17" s="15">
        <f t="shared" si="2"/>
        <v>0</v>
      </c>
      <c r="E17" s="55"/>
      <c r="F17" s="97"/>
      <c r="G17" s="97"/>
      <c r="H17" s="97"/>
      <c r="I17" s="97"/>
      <c r="J17" s="21"/>
      <c r="K17" s="20">
        <f t="shared" si="3"/>
        <v>0</v>
      </c>
    </row>
    <row r="18" spans="1:80" ht="20.100000000000001" customHeight="1" x14ac:dyDescent="0.2">
      <c r="A18" s="57">
        <f>CyP!A23</f>
        <v>6</v>
      </c>
      <c r="B18" s="359" t="str">
        <f t="shared" si="1"/>
        <v>Columnas metálicas doble con brazo</v>
      </c>
      <c r="C18" s="360"/>
      <c r="D18" s="15">
        <f t="shared" si="2"/>
        <v>0</v>
      </c>
      <c r="E18" s="55"/>
      <c r="F18" s="97"/>
      <c r="G18" s="97"/>
      <c r="H18" s="97"/>
      <c r="I18" s="97"/>
      <c r="J18" s="21"/>
      <c r="K18" s="20">
        <f t="shared" si="3"/>
        <v>0</v>
      </c>
    </row>
    <row r="19" spans="1:80" ht="20.100000000000001" customHeight="1" x14ac:dyDescent="0.2">
      <c r="A19" s="57">
        <f>CyP!A24</f>
        <v>7</v>
      </c>
      <c r="B19" s="359" t="str">
        <f t="shared" si="1"/>
        <v>Conductor preensamblado de aluminio</v>
      </c>
      <c r="C19" s="360"/>
      <c r="D19" s="15">
        <f t="shared" si="2"/>
        <v>0</v>
      </c>
      <c r="E19" s="55"/>
      <c r="F19" s="97"/>
      <c r="G19" s="97"/>
      <c r="H19" s="97"/>
      <c r="I19" s="97"/>
      <c r="J19" s="21"/>
      <c r="K19" s="20">
        <f t="shared" si="3"/>
        <v>0</v>
      </c>
    </row>
    <row r="20" spans="1:80" ht="20.100000000000001" customHeight="1" x14ac:dyDescent="0.2">
      <c r="A20" s="57">
        <f>CyP!A25</f>
        <v>8</v>
      </c>
      <c r="B20" s="359" t="str">
        <f t="shared" si="1"/>
        <v>Puesta a tierra completa</v>
      </c>
      <c r="C20" s="360"/>
      <c r="D20" s="15">
        <f t="shared" si="2"/>
        <v>0</v>
      </c>
      <c r="E20" s="55"/>
      <c r="F20" s="97"/>
      <c r="G20" s="97"/>
      <c r="H20" s="97"/>
      <c r="I20" s="97"/>
      <c r="J20" s="21"/>
      <c r="K20" s="20">
        <f t="shared" si="3"/>
        <v>0</v>
      </c>
    </row>
    <row r="21" spans="1:80" ht="20.100000000000001" customHeight="1" x14ac:dyDescent="0.2">
      <c r="A21" s="57">
        <f>CyP!A26</f>
        <v>9</v>
      </c>
      <c r="B21" s="359" t="str">
        <f t="shared" si="1"/>
        <v>Estructuras de alineación, retención y terminal para cable preensamblado</v>
      </c>
      <c r="C21" s="360"/>
      <c r="D21" s="15">
        <f t="shared" si="2"/>
        <v>0</v>
      </c>
      <c r="E21" s="55"/>
      <c r="F21" s="97"/>
      <c r="G21" s="97"/>
      <c r="H21" s="97"/>
      <c r="I21" s="97"/>
      <c r="J21" s="21"/>
      <c r="K21" s="20">
        <f t="shared" si="3"/>
        <v>0</v>
      </c>
    </row>
    <row r="22" spans="1:80" ht="20.100000000000001" customHeight="1" x14ac:dyDescent="0.2">
      <c r="A22" s="57">
        <f>CyP!A27</f>
        <v>10</v>
      </c>
      <c r="B22" s="359" t="str">
        <f t="shared" ref="B22:B23" si="4">IFERROR(VLOOKUP(A22,Tabla_CyP,2,FALSE),"")</f>
        <v>Tableros de comando y medición trifasicos completos</v>
      </c>
      <c r="C22" s="360"/>
      <c r="D22" s="15">
        <f t="shared" si="2"/>
        <v>0</v>
      </c>
      <c r="E22" s="55"/>
      <c r="F22" s="97"/>
      <c r="G22" s="97"/>
      <c r="H22" s="97"/>
      <c r="I22" s="97"/>
      <c r="J22" s="21"/>
      <c r="K22" s="20">
        <f t="shared" si="3"/>
        <v>0</v>
      </c>
    </row>
    <row r="23" spans="1:80" ht="20.100000000000001" customHeight="1" x14ac:dyDescent="0.2">
      <c r="A23" s="57" t="e">
        <f>CyP!#REF!</f>
        <v>#REF!</v>
      </c>
      <c r="B23" s="359" t="str">
        <f t="shared" si="4"/>
        <v/>
      </c>
      <c r="C23" s="360"/>
      <c r="D23" s="15"/>
      <c r="E23" s="55"/>
      <c r="F23" s="97"/>
      <c r="G23" s="97"/>
      <c r="H23" s="97"/>
      <c r="I23" s="97"/>
      <c r="J23" s="21"/>
      <c r="K23" s="20"/>
    </row>
    <row r="24" spans="1:80" ht="20.100000000000001" customHeight="1" x14ac:dyDescent="0.2">
      <c r="A24" s="57" t="e">
        <f>CyP!#REF!</f>
        <v>#REF!</v>
      </c>
      <c r="B24" s="359" t="str">
        <f t="shared" ref="B24" si="5">IFERROR(VLOOKUP(A24,Tabla_CyP,2,FALSE),"")</f>
        <v/>
      </c>
      <c r="C24" s="360"/>
      <c r="D24" s="15">
        <f t="shared" si="2"/>
        <v>0</v>
      </c>
      <c r="E24" s="55"/>
      <c r="F24" s="97"/>
      <c r="G24" s="97"/>
      <c r="H24" s="97"/>
      <c r="I24" s="97"/>
      <c r="J24" s="21"/>
      <c r="K24" s="20">
        <f t="shared" si="3"/>
        <v>0</v>
      </c>
    </row>
    <row r="25" spans="1:80" s="10" customFormat="1" ht="20.100000000000001" customHeight="1" x14ac:dyDescent="0.2">
      <c r="A25" s="61" t="s">
        <v>3</v>
      </c>
      <c r="B25" s="29" t="s">
        <v>3</v>
      </c>
      <c r="C25" s="29"/>
      <c r="D25" s="62" t="s">
        <v>4</v>
      </c>
      <c r="E25" s="30"/>
      <c r="F25" s="64"/>
      <c r="G25" s="65"/>
      <c r="H25" s="65"/>
      <c r="I25" s="65"/>
      <c r="K25" s="22">
        <f t="shared" si="3"/>
        <v>0</v>
      </c>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row>
    <row r="26" spans="1:80" ht="20.100000000000001" customHeight="1" x14ac:dyDescent="0.2">
      <c r="A26" s="61" t="s">
        <v>3</v>
      </c>
      <c r="B26" s="59" t="s">
        <v>10</v>
      </c>
      <c r="C26" s="63"/>
      <c r="D26" s="58">
        <f>SUM(D13:D25)</f>
        <v>0</v>
      </c>
      <c r="E26" s="56"/>
      <c r="F26" s="31"/>
      <c r="G26" s="31"/>
      <c r="H26" s="31"/>
      <c r="I26" s="31"/>
    </row>
    <row r="27" spans="1:80" ht="20.100000000000001" customHeight="1" x14ac:dyDescent="0.2">
      <c r="A27" s="32"/>
      <c r="B27" s="32"/>
      <c r="C27" s="32"/>
      <c r="D27" s="32"/>
      <c r="E27" s="33"/>
      <c r="F27" s="32"/>
      <c r="G27" s="32"/>
      <c r="H27" s="32"/>
      <c r="I27" s="32"/>
    </row>
    <row r="28" spans="1:80" ht="20.100000000000001" customHeight="1" x14ac:dyDescent="0.2">
      <c r="A28" s="32"/>
      <c r="B28" s="32"/>
      <c r="C28" s="32"/>
      <c r="D28" s="34" t="s">
        <v>21</v>
      </c>
      <c r="E28" s="33">
        <v>0</v>
      </c>
      <c r="F28" s="35">
        <f>SUMPRODUCT($D$13:$D$24,F13:F24)</f>
        <v>0</v>
      </c>
      <c r="G28" s="35">
        <f t="shared" ref="G28:I28" si="6">SUMPRODUCT($D$13:$D$24,G13:G24)</f>
        <v>0</v>
      </c>
      <c r="H28" s="35">
        <f t="shared" si="6"/>
        <v>0</v>
      </c>
      <c r="I28" s="35">
        <f t="shared" si="6"/>
        <v>0</v>
      </c>
      <c r="J28" s="23"/>
    </row>
    <row r="29" spans="1:80" ht="20.100000000000001" customHeight="1" x14ac:dyDescent="0.2">
      <c r="A29" s="32"/>
      <c r="B29" s="32"/>
      <c r="C29" s="32"/>
      <c r="D29" s="34" t="s">
        <v>22</v>
      </c>
      <c r="E29" s="33">
        <v>0</v>
      </c>
      <c r="F29" s="35">
        <f>E29+F28</f>
        <v>0</v>
      </c>
      <c r="G29" s="35">
        <f t="shared" ref="G29:I29" si="7">F29+G28</f>
        <v>0</v>
      </c>
      <c r="H29" s="35">
        <f t="shared" si="7"/>
        <v>0</v>
      </c>
      <c r="I29" s="35">
        <f t="shared" si="7"/>
        <v>0</v>
      </c>
      <c r="J29" s="23"/>
    </row>
    <row r="30" spans="1:80" ht="20.100000000000001" customHeight="1" x14ac:dyDescent="0.2">
      <c r="A30" s="32"/>
      <c r="B30" s="32"/>
      <c r="C30" s="32"/>
      <c r="D30" s="36"/>
      <c r="E30" s="37" t="s">
        <v>1012</v>
      </c>
      <c r="F30" s="32"/>
      <c r="G30" s="32"/>
      <c r="H30" s="32"/>
      <c r="I30" s="32"/>
    </row>
    <row r="31" spans="1:80" ht="20.100000000000001" customHeight="1" x14ac:dyDescent="0.2">
      <c r="A31" s="32"/>
      <c r="B31" s="32"/>
      <c r="C31" s="32"/>
      <c r="D31" s="34" t="s">
        <v>23</v>
      </c>
      <c r="E31" s="38">
        <f>Anticipo_Financiero*Monto_Oferta</f>
        <v>0</v>
      </c>
      <c r="F31" s="38">
        <f t="shared" ref="F31:I31" si="8">Monto_Oferta*F28*(1-Anticipo_Financiero)</f>
        <v>0</v>
      </c>
      <c r="G31" s="38">
        <f t="shared" si="8"/>
        <v>0</v>
      </c>
      <c r="H31" s="38">
        <f t="shared" si="8"/>
        <v>0</v>
      </c>
      <c r="I31" s="38">
        <f t="shared" si="8"/>
        <v>0</v>
      </c>
      <c r="J31" s="11"/>
      <c r="K31" s="25"/>
    </row>
    <row r="32" spans="1:80" ht="20.100000000000001" customHeight="1" x14ac:dyDescent="0.2">
      <c r="A32" s="32"/>
      <c r="B32" s="32"/>
      <c r="C32" s="32"/>
      <c r="D32" s="34" t="s">
        <v>988</v>
      </c>
      <c r="E32" s="38">
        <f>E31</f>
        <v>0</v>
      </c>
      <c r="F32" s="38">
        <f>E32+F31</f>
        <v>0</v>
      </c>
      <c r="G32" s="38">
        <f t="shared" ref="G32:I32" si="9">F32+G31</f>
        <v>0</v>
      </c>
      <c r="H32" s="38">
        <f t="shared" si="9"/>
        <v>0</v>
      </c>
      <c r="I32" s="38">
        <f t="shared" si="9"/>
        <v>0</v>
      </c>
      <c r="J32" s="11"/>
    </row>
    <row r="33" spans="5:5" ht="20.100000000000001" customHeight="1" x14ac:dyDescent="0.2">
      <c r="E33" s="24">
        <v>0</v>
      </c>
    </row>
    <row r="34" spans="5:5" ht="20.100000000000001" customHeight="1" x14ac:dyDescent="0.2">
      <c r="E34" s="24">
        <v>0</v>
      </c>
    </row>
  </sheetData>
  <mergeCells count="18">
    <mergeCell ref="B24:C24"/>
    <mergeCell ref="A8:D8"/>
    <mergeCell ref="B18:C18"/>
    <mergeCell ref="B19:C19"/>
    <mergeCell ref="B20:C20"/>
    <mergeCell ref="B21:C21"/>
    <mergeCell ref="B22:C22"/>
    <mergeCell ref="B13:C13"/>
    <mergeCell ref="B14:C14"/>
    <mergeCell ref="B15:C15"/>
    <mergeCell ref="B16:C16"/>
    <mergeCell ref="B17:C17"/>
    <mergeCell ref="B23:C23"/>
    <mergeCell ref="F10:I10"/>
    <mergeCell ref="K10:K11"/>
    <mergeCell ref="A10:A11"/>
    <mergeCell ref="B10:C11"/>
    <mergeCell ref="D10:D11"/>
  </mergeCells>
  <conditionalFormatting sqref="A13:B13 A14:A26">
    <cfRule type="expression" dxfId="134" priority="183" stopIfTrue="1">
      <formula>#REF!&gt;0</formula>
    </cfRule>
    <cfRule type="expression" dxfId="133" priority="184" stopIfTrue="1">
      <formula>#REF!&gt;0</formula>
    </cfRule>
    <cfRule type="expression" dxfId="132" priority="185" stopIfTrue="1">
      <formula>#REF!&gt;0</formula>
    </cfRule>
  </conditionalFormatting>
  <conditionalFormatting sqref="B25:C25">
    <cfRule type="expression" dxfId="131" priority="186" stopIfTrue="1">
      <formula>#REF!&gt;0</formula>
    </cfRule>
    <cfRule type="expression" dxfId="130" priority="187" stopIfTrue="1">
      <formula>#REF!&gt;0</formula>
    </cfRule>
    <cfRule type="expression" dxfId="129" priority="188" stopIfTrue="1">
      <formula>#REF!&gt;0</formula>
    </cfRule>
  </conditionalFormatting>
  <conditionalFormatting sqref="B14:B21">
    <cfRule type="expression" dxfId="128" priority="28" stopIfTrue="1">
      <formula>#REF!&gt;0</formula>
    </cfRule>
    <cfRule type="expression" dxfId="127" priority="29" stopIfTrue="1">
      <formula>#REF!&gt;0</formula>
    </cfRule>
    <cfRule type="expression" dxfId="126" priority="30" stopIfTrue="1">
      <formula>#REF!&gt;0</formula>
    </cfRule>
  </conditionalFormatting>
  <conditionalFormatting sqref="B22">
    <cfRule type="expression" dxfId="125" priority="7" stopIfTrue="1">
      <formula>#REF!&gt;0</formula>
    </cfRule>
    <cfRule type="expression" dxfId="124" priority="8" stopIfTrue="1">
      <formula>#REF!&gt;0</formula>
    </cfRule>
    <cfRule type="expression" dxfId="123" priority="9" stopIfTrue="1">
      <formula>#REF!&gt;0</formula>
    </cfRule>
  </conditionalFormatting>
  <conditionalFormatting sqref="B24">
    <cfRule type="expression" dxfId="122" priority="4" stopIfTrue="1">
      <formula>#REF!&gt;0</formula>
    </cfRule>
    <cfRule type="expression" dxfId="121" priority="5" stopIfTrue="1">
      <formula>#REF!&gt;0</formula>
    </cfRule>
    <cfRule type="expression" dxfId="120" priority="6" stopIfTrue="1">
      <formula>#REF!&gt;0</formula>
    </cfRule>
  </conditionalFormatting>
  <conditionalFormatting sqref="B23">
    <cfRule type="expression" dxfId="119" priority="1" stopIfTrue="1">
      <formula>#REF!&gt;0</formula>
    </cfRule>
    <cfRule type="expression" dxfId="118" priority="2" stopIfTrue="1">
      <formula>#REF!&gt;0</formula>
    </cfRule>
    <cfRule type="expression" dxfId="117"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PROVINCIAL N°262 DESDE RN Nº 20 HASTA AV. DE LOS RIOS – DPTO CAUCETE”</v>
      </c>
      <c r="C4" s="288"/>
      <c r="D4" s="288"/>
      <c r="E4" s="288"/>
      <c r="F4" s="289" t="s">
        <v>38</v>
      </c>
      <c r="G4" s="291">
        <f>Fecha_Base</f>
        <v>0</v>
      </c>
    </row>
    <row r="5" spans="1:7" ht="24" customHeight="1" x14ac:dyDescent="0.2">
      <c r="A5" s="292" t="s">
        <v>601</v>
      </c>
      <c r="B5" s="293" t="str">
        <f>Ubicación</f>
        <v>Departamento de Chimbas</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68" t="s">
        <v>507</v>
      </c>
      <c r="B9" s="369"/>
      <c r="C9" s="370" t="s">
        <v>0</v>
      </c>
      <c r="D9" s="370" t="s">
        <v>27</v>
      </c>
      <c r="E9" s="364" t="s">
        <v>28</v>
      </c>
      <c r="F9" s="366" t="s">
        <v>29</v>
      </c>
      <c r="G9" s="366" t="s">
        <v>30</v>
      </c>
    </row>
    <row r="10" spans="1:7" s="217" customFormat="1" ht="24" customHeight="1" x14ac:dyDescent="0.2">
      <c r="A10" s="302" t="s">
        <v>508</v>
      </c>
      <c r="B10" s="302" t="s">
        <v>509</v>
      </c>
      <c r="C10" s="371"/>
      <c r="D10" s="371"/>
      <c r="E10" s="365"/>
      <c r="F10" s="367"/>
      <c r="G10" s="367"/>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PROVINCIAL N°262 DESDE RN Nº 20 HASTA AV. DE LOS RIOS – DPTO CAUCETE”</v>
      </c>
      <c r="C54" s="288"/>
      <c r="D54" s="288"/>
      <c r="E54" s="288"/>
      <c r="F54" s="289" t="s">
        <v>38</v>
      </c>
      <c r="G54" s="291">
        <f>Fecha_Base</f>
        <v>0</v>
      </c>
    </row>
    <row r="55" spans="1:7" ht="24" customHeight="1" x14ac:dyDescent="0.2">
      <c r="A55" s="292" t="s">
        <v>601</v>
      </c>
      <c r="B55" s="293" t="str">
        <f>Ubicación</f>
        <v>Departamento de Chimbas</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68" t="s">
        <v>507</v>
      </c>
      <c r="B59" s="369"/>
      <c r="C59" s="370" t="s">
        <v>0</v>
      </c>
      <c r="D59" s="370" t="s">
        <v>27</v>
      </c>
      <c r="E59" s="364" t="s">
        <v>28</v>
      </c>
      <c r="F59" s="366" t="s">
        <v>29</v>
      </c>
      <c r="G59" s="366" t="s">
        <v>30</v>
      </c>
    </row>
    <row r="60" spans="1:7" s="217" customFormat="1" ht="24" customHeight="1" x14ac:dyDescent="0.2">
      <c r="A60" s="302" t="s">
        <v>508</v>
      </c>
      <c r="B60" s="302" t="s">
        <v>509</v>
      </c>
      <c r="C60" s="371"/>
      <c r="D60" s="371"/>
      <c r="E60" s="365"/>
      <c r="F60" s="367"/>
      <c r="G60" s="367"/>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PROVINCIAL N°262 DESDE RN Nº 20 HASTA AV. DE LOS RIOS – DPTO CAUCETE”</v>
      </c>
      <c r="C104" s="288"/>
      <c r="D104" s="288"/>
      <c r="E104" s="288"/>
      <c r="F104" s="289" t="s">
        <v>38</v>
      </c>
      <c r="G104" s="291">
        <f>Fecha_Base</f>
        <v>0</v>
      </c>
    </row>
    <row r="105" spans="1:7" ht="24" customHeight="1" x14ac:dyDescent="0.2">
      <c r="A105" s="292" t="s">
        <v>601</v>
      </c>
      <c r="B105" s="293" t="str">
        <f>Ubicación</f>
        <v>Departamento de Chimbas</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68" t="s">
        <v>507</v>
      </c>
      <c r="B109" s="369"/>
      <c r="C109" s="370" t="s">
        <v>0</v>
      </c>
      <c r="D109" s="370" t="s">
        <v>27</v>
      </c>
      <c r="E109" s="364" t="s">
        <v>28</v>
      </c>
      <c r="F109" s="366" t="s">
        <v>29</v>
      </c>
      <c r="G109" s="366" t="s">
        <v>30</v>
      </c>
    </row>
    <row r="110" spans="1:7" s="217" customFormat="1" ht="24" customHeight="1" x14ac:dyDescent="0.2">
      <c r="A110" s="302" t="s">
        <v>508</v>
      </c>
      <c r="B110" s="302" t="s">
        <v>509</v>
      </c>
      <c r="C110" s="371"/>
      <c r="D110" s="371"/>
      <c r="E110" s="365"/>
      <c r="F110" s="367"/>
      <c r="G110" s="367"/>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PROVINCIAL N°262 DESDE RN Nº 20 HASTA AV. DE LOS RIOS – DPTO CAUCETE”</v>
      </c>
      <c r="C152" s="288"/>
      <c r="D152" s="288"/>
      <c r="E152" s="288"/>
      <c r="F152" s="289" t="s">
        <v>38</v>
      </c>
      <c r="G152" s="291">
        <f>Fecha_Base</f>
        <v>0</v>
      </c>
    </row>
    <row r="153" spans="1:7" ht="24" customHeight="1" x14ac:dyDescent="0.2">
      <c r="A153" s="292" t="s">
        <v>601</v>
      </c>
      <c r="B153" s="293" t="str">
        <f>Ubicación</f>
        <v>Departamento de Chimbas</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68" t="s">
        <v>507</v>
      </c>
      <c r="B157" s="369"/>
      <c r="C157" s="370" t="s">
        <v>0</v>
      </c>
      <c r="D157" s="370" t="s">
        <v>27</v>
      </c>
      <c r="E157" s="364" t="s">
        <v>28</v>
      </c>
      <c r="F157" s="366" t="s">
        <v>29</v>
      </c>
      <c r="G157" s="366" t="s">
        <v>30</v>
      </c>
    </row>
    <row r="158" spans="1:7" s="217" customFormat="1" ht="24" customHeight="1" x14ac:dyDescent="0.2">
      <c r="A158" s="302" t="s">
        <v>508</v>
      </c>
      <c r="B158" s="302" t="s">
        <v>509</v>
      </c>
      <c r="C158" s="371"/>
      <c r="D158" s="371"/>
      <c r="E158" s="365"/>
      <c r="F158" s="367"/>
      <c r="G158" s="367"/>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PROVINCIAL N°262 DESDE RN Nº 20 HASTA AV. DE LOS RIOS – DPTO CAUCETE”</v>
      </c>
      <c r="C202" s="288"/>
      <c r="D202" s="288"/>
      <c r="E202" s="288"/>
      <c r="F202" s="289" t="s">
        <v>38</v>
      </c>
      <c r="G202" s="291">
        <f>Fecha_Base</f>
        <v>0</v>
      </c>
    </row>
    <row r="203" spans="1:7" ht="24" customHeight="1" x14ac:dyDescent="0.2">
      <c r="A203" s="292" t="s">
        <v>601</v>
      </c>
      <c r="B203" s="293" t="str">
        <f>Ubicación</f>
        <v>Departamento de Chimbas</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68" t="s">
        <v>507</v>
      </c>
      <c r="B207" s="369"/>
      <c r="C207" s="370" t="s">
        <v>0</v>
      </c>
      <c r="D207" s="370" t="s">
        <v>27</v>
      </c>
      <c r="E207" s="364" t="s">
        <v>28</v>
      </c>
      <c r="F207" s="366" t="s">
        <v>29</v>
      </c>
      <c r="G207" s="366" t="s">
        <v>30</v>
      </c>
    </row>
    <row r="208" spans="1:7" s="217" customFormat="1" ht="24" customHeight="1" x14ac:dyDescent="0.2">
      <c r="A208" s="302" t="s">
        <v>508</v>
      </c>
      <c r="B208" s="302" t="s">
        <v>509</v>
      </c>
      <c r="C208" s="371"/>
      <c r="D208" s="371"/>
      <c r="E208" s="365"/>
      <c r="F208" s="367"/>
      <c r="G208" s="367"/>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PROVINCIAL N°262 DESDE RN Nº 20 HASTA AV. DE LOS RIOS – DPTO CAUCETE”</v>
      </c>
      <c r="C252" s="288"/>
      <c r="D252" s="288"/>
      <c r="E252" s="288"/>
      <c r="F252" s="289" t="s">
        <v>38</v>
      </c>
      <c r="G252" s="291">
        <f>Fecha_Base</f>
        <v>0</v>
      </c>
    </row>
    <row r="253" spans="1:7" ht="24" customHeight="1" x14ac:dyDescent="0.2">
      <c r="A253" s="292" t="s">
        <v>601</v>
      </c>
      <c r="B253" s="293" t="str">
        <f>Ubicación</f>
        <v>Departamento de Chimbas</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68" t="s">
        <v>507</v>
      </c>
      <c r="B257" s="369"/>
      <c r="C257" s="370" t="s">
        <v>0</v>
      </c>
      <c r="D257" s="370" t="s">
        <v>27</v>
      </c>
      <c r="E257" s="364" t="s">
        <v>28</v>
      </c>
      <c r="F257" s="366" t="s">
        <v>29</v>
      </c>
      <c r="G257" s="366" t="s">
        <v>30</v>
      </c>
    </row>
    <row r="258" spans="1:7" s="217" customFormat="1" ht="24" customHeight="1" x14ac:dyDescent="0.2">
      <c r="A258" s="302" t="s">
        <v>508</v>
      </c>
      <c r="B258" s="302" t="s">
        <v>509</v>
      </c>
      <c r="C258" s="371"/>
      <c r="D258" s="371"/>
      <c r="E258" s="365"/>
      <c r="F258" s="367"/>
      <c r="G258" s="367"/>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PROVINCIAL N°262 DESDE RN Nº 20 HASTA AV. DE LOS RIOS – DPTO CAUCETE”</v>
      </c>
      <c r="C302" s="288"/>
      <c r="D302" s="288"/>
      <c r="E302" s="288"/>
      <c r="F302" s="289" t="s">
        <v>38</v>
      </c>
      <c r="G302" s="291">
        <f>Fecha_Base</f>
        <v>0</v>
      </c>
    </row>
    <row r="303" spans="1:7" ht="24" customHeight="1" x14ac:dyDescent="0.2">
      <c r="A303" s="292" t="s">
        <v>601</v>
      </c>
      <c r="B303" s="293" t="str">
        <f>Ubicación</f>
        <v>Departamento de Chimbas</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68" t="s">
        <v>507</v>
      </c>
      <c r="B307" s="369"/>
      <c r="C307" s="370" t="s">
        <v>0</v>
      </c>
      <c r="D307" s="370" t="s">
        <v>27</v>
      </c>
      <c r="E307" s="364" t="s">
        <v>28</v>
      </c>
      <c r="F307" s="366" t="s">
        <v>29</v>
      </c>
      <c r="G307" s="366" t="s">
        <v>30</v>
      </c>
    </row>
    <row r="308" spans="1:7" s="217" customFormat="1" ht="24" customHeight="1" x14ac:dyDescent="0.2">
      <c r="A308" s="302" t="s">
        <v>508</v>
      </c>
      <c r="B308" s="302" t="s">
        <v>509</v>
      </c>
      <c r="C308" s="371"/>
      <c r="D308" s="371"/>
      <c r="E308" s="365"/>
      <c r="F308" s="367"/>
      <c r="G308" s="367"/>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PROVINCIAL N°262 DESDE RN Nº 20 HASTA AV. DE LOS RIOS – DPTO CAUCETE”</v>
      </c>
      <c r="C352" s="288"/>
      <c r="D352" s="288"/>
      <c r="E352" s="288"/>
      <c r="F352" s="289" t="s">
        <v>38</v>
      </c>
      <c r="G352" s="291">
        <f>Fecha_Base</f>
        <v>0</v>
      </c>
    </row>
    <row r="353" spans="1:7" ht="24" customHeight="1" x14ac:dyDescent="0.2">
      <c r="A353" s="292" t="s">
        <v>601</v>
      </c>
      <c r="B353" s="293" t="str">
        <f>Ubicación</f>
        <v>Departamento de Chimbas</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v>
      </c>
    </row>
    <row r="356" spans="1:7" ht="24" customHeight="1" x14ac:dyDescent="0.2">
      <c r="A356" s="292"/>
      <c r="B356" s="293"/>
      <c r="C356" s="299"/>
      <c r="D356" s="294"/>
      <c r="E356" s="295"/>
      <c r="F356" s="296"/>
      <c r="G356" s="297"/>
    </row>
    <row r="357" spans="1:7" ht="24" customHeight="1" x14ac:dyDescent="0.2">
      <c r="A357" s="368" t="s">
        <v>507</v>
      </c>
      <c r="B357" s="369"/>
      <c r="C357" s="370" t="s">
        <v>0</v>
      </c>
      <c r="D357" s="370" t="s">
        <v>27</v>
      </c>
      <c r="E357" s="364" t="s">
        <v>28</v>
      </c>
      <c r="F357" s="366" t="s">
        <v>29</v>
      </c>
      <c r="G357" s="366" t="s">
        <v>30</v>
      </c>
    </row>
    <row r="358" spans="1:7" s="217" customFormat="1" ht="24" customHeight="1" x14ac:dyDescent="0.2">
      <c r="A358" s="302" t="s">
        <v>508</v>
      </c>
      <c r="B358" s="302" t="s">
        <v>509</v>
      </c>
      <c r="C358" s="371"/>
      <c r="D358" s="371"/>
      <c r="E358" s="365"/>
      <c r="F358" s="367"/>
      <c r="G358" s="367"/>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PROVINCIAL N°262 DESDE RN Nº 20 HASTA AV. DE LOS RIOS – DPTO CAUCETE”</v>
      </c>
      <c r="C402" s="288"/>
      <c r="D402" s="288"/>
      <c r="E402" s="288"/>
      <c r="F402" s="289" t="s">
        <v>38</v>
      </c>
      <c r="G402" s="291">
        <f>Fecha_Base</f>
        <v>0</v>
      </c>
    </row>
    <row r="403" spans="1:7" ht="24" customHeight="1" x14ac:dyDescent="0.2">
      <c r="A403" s="292" t="s">
        <v>601</v>
      </c>
      <c r="B403" s="293" t="str">
        <f>Ubicación</f>
        <v>Departamento de Chimbas</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v>
      </c>
    </row>
    <row r="406" spans="1:7" ht="24" customHeight="1" x14ac:dyDescent="0.2">
      <c r="A406" s="292"/>
      <c r="B406" s="293"/>
      <c r="C406" s="299"/>
      <c r="D406" s="294"/>
      <c r="E406" s="295"/>
      <c r="F406" s="296"/>
      <c r="G406" s="297"/>
    </row>
    <row r="407" spans="1:7" ht="24" customHeight="1" x14ac:dyDescent="0.2">
      <c r="A407" s="368" t="s">
        <v>507</v>
      </c>
      <c r="B407" s="369"/>
      <c r="C407" s="370" t="s">
        <v>0</v>
      </c>
      <c r="D407" s="370" t="s">
        <v>27</v>
      </c>
      <c r="E407" s="364" t="s">
        <v>28</v>
      </c>
      <c r="F407" s="366" t="s">
        <v>29</v>
      </c>
      <c r="G407" s="366" t="s">
        <v>30</v>
      </c>
    </row>
    <row r="408" spans="1:7" s="217" customFormat="1" ht="24" customHeight="1" x14ac:dyDescent="0.2">
      <c r="A408" s="302" t="s">
        <v>508</v>
      </c>
      <c r="B408" s="302" t="s">
        <v>509</v>
      </c>
      <c r="C408" s="371"/>
      <c r="D408" s="371"/>
      <c r="E408" s="365"/>
      <c r="F408" s="367"/>
      <c r="G408" s="367"/>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PROVINCIAL N°262 DESDE RN Nº 20 HASTA AV. DE LOS RIOS – DPTO CAUCETE”</v>
      </c>
      <c r="C451" s="288"/>
      <c r="D451" s="288"/>
      <c r="E451" s="288"/>
      <c r="F451" s="289" t="s">
        <v>38</v>
      </c>
      <c r="G451" s="291">
        <f>Fecha_Base</f>
        <v>0</v>
      </c>
    </row>
    <row r="452" spans="1:7" ht="24" customHeight="1" x14ac:dyDescent="0.2">
      <c r="A452" s="292" t="s">
        <v>601</v>
      </c>
      <c r="B452" s="293" t="str">
        <f>Ubicación</f>
        <v>Departamento de Chimbas</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v>
      </c>
    </row>
    <row r="455" spans="1:7" ht="24" customHeight="1" x14ac:dyDescent="0.2">
      <c r="A455" s="292"/>
      <c r="B455" s="293"/>
      <c r="C455" s="299"/>
      <c r="D455" s="294"/>
      <c r="E455" s="295"/>
      <c r="F455" s="296"/>
      <c r="G455" s="297"/>
    </row>
    <row r="456" spans="1:7" ht="24" customHeight="1" x14ac:dyDescent="0.2">
      <c r="A456" s="368" t="s">
        <v>507</v>
      </c>
      <c r="B456" s="369"/>
      <c r="C456" s="370" t="s">
        <v>0</v>
      </c>
      <c r="D456" s="370" t="s">
        <v>27</v>
      </c>
      <c r="E456" s="364" t="s">
        <v>28</v>
      </c>
      <c r="F456" s="366" t="s">
        <v>29</v>
      </c>
      <c r="G456" s="366" t="s">
        <v>30</v>
      </c>
    </row>
    <row r="457" spans="1:7" s="217" customFormat="1" ht="24" customHeight="1" x14ac:dyDescent="0.2">
      <c r="A457" s="302" t="s">
        <v>508</v>
      </c>
      <c r="B457" s="302" t="s">
        <v>509</v>
      </c>
      <c r="C457" s="371"/>
      <c r="D457" s="371"/>
      <c r="E457" s="365"/>
      <c r="F457" s="367"/>
      <c r="G457" s="367"/>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PROVINCIAL N°262 DESDE RN Nº 20 HASTA AV. DE LOS RIOS – DPTO CAUCETE”</v>
      </c>
      <c r="C501" s="288"/>
      <c r="D501" s="288"/>
      <c r="E501" s="288"/>
      <c r="F501" s="289" t="s">
        <v>38</v>
      </c>
      <c r="G501" s="291">
        <f>Fecha_Base</f>
        <v>0</v>
      </c>
    </row>
    <row r="502" spans="1:7" ht="24" customHeight="1" x14ac:dyDescent="0.2">
      <c r="A502" s="292" t="s">
        <v>601</v>
      </c>
      <c r="B502" s="293" t="str">
        <f>Ubicación</f>
        <v>Departamento de Chimbas</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68" t="s">
        <v>507</v>
      </c>
      <c r="B506" s="369"/>
      <c r="C506" s="370" t="s">
        <v>0</v>
      </c>
      <c r="D506" s="370" t="s">
        <v>27</v>
      </c>
      <c r="E506" s="364" t="s">
        <v>28</v>
      </c>
      <c r="F506" s="366" t="s">
        <v>29</v>
      </c>
      <c r="G506" s="366" t="s">
        <v>30</v>
      </c>
    </row>
    <row r="507" spans="1:7" s="217" customFormat="1" ht="24" customHeight="1" x14ac:dyDescent="0.2">
      <c r="A507" s="302" t="s">
        <v>508</v>
      </c>
      <c r="B507" s="302" t="s">
        <v>509</v>
      </c>
      <c r="C507" s="371"/>
      <c r="D507" s="371"/>
      <c r="E507" s="365"/>
      <c r="F507" s="367"/>
      <c r="G507" s="367"/>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08"/>
  <sheetViews>
    <sheetView showGridLines="0" showZeros="0" tabSelected="1" view="pageBreakPreview" topLeftCell="A30" zoomScale="90" zoomScaleNormal="90" zoomScaleSheetLayoutView="90" workbookViewId="0">
      <selection activeCell="K43" sqref="K43"/>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RUTA PROVINCIAL N°262 DESDE RN Nº 20 HASTA AV. DE LOS RIOS – DPTO CAUCETE”</v>
      </c>
      <c r="D2" s="146"/>
      <c r="E2" s="146"/>
      <c r="F2" s="146"/>
      <c r="G2" s="146"/>
      <c r="I2" s="146"/>
    </row>
    <row r="3" spans="1:9" s="147" customFormat="1" ht="20.100000000000001" customHeight="1" x14ac:dyDescent="0.2">
      <c r="A3" s="145" t="s">
        <v>16</v>
      </c>
      <c r="B3" s="145"/>
      <c r="C3" s="148" t="str">
        <f>Ubicación</f>
        <v>Departamento de Chimbas</v>
      </c>
      <c r="D3" s="148"/>
      <c r="E3" s="148"/>
      <c r="F3" s="148"/>
      <c r="G3" s="148"/>
      <c r="I3" s="148"/>
    </row>
    <row r="4" spans="1:9" s="147" customFormat="1" ht="20.100000000000001" customHeight="1" x14ac:dyDescent="0.2">
      <c r="A4" s="145" t="s">
        <v>15</v>
      </c>
      <c r="B4" s="149"/>
      <c r="C4" s="333" t="str">
        <f>Licitación_N°</f>
        <v>Licitación Privada 04/22</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t="str">
        <f>P_Oficial</f>
        <v>41.897.540,18</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120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6" t="s">
        <v>991</v>
      </c>
      <c r="B15" s="378" t="s">
        <v>0</v>
      </c>
      <c r="C15" s="379"/>
      <c r="D15" s="376" t="s">
        <v>1</v>
      </c>
      <c r="E15" s="376" t="s">
        <v>2</v>
      </c>
      <c r="F15" s="373" t="s">
        <v>1030</v>
      </c>
      <c r="G15" s="373" t="s">
        <v>1031</v>
      </c>
      <c r="H15" s="373" t="s">
        <v>1009</v>
      </c>
      <c r="I15" s="376" t="s">
        <v>14</v>
      </c>
    </row>
    <row r="16" spans="1:9" ht="20.100000000000001" customHeight="1" x14ac:dyDescent="0.2">
      <c r="A16" s="377"/>
      <c r="B16" s="380"/>
      <c r="C16" s="381"/>
      <c r="D16" s="377"/>
      <c r="E16" s="377"/>
      <c r="F16" s="373"/>
      <c r="G16" s="373"/>
      <c r="H16" s="373"/>
      <c r="I16" s="377"/>
    </row>
    <row r="17" spans="1:9" ht="20.100000000000001" customHeight="1" x14ac:dyDescent="0.2">
      <c r="A17" s="88"/>
      <c r="B17" s="130"/>
      <c r="C17" s="130"/>
      <c r="D17" s="88"/>
      <c r="E17" s="88"/>
      <c r="F17" s="130"/>
      <c r="G17" s="130"/>
      <c r="I17" s="161"/>
    </row>
    <row r="18" spans="1:9" ht="24.95" customHeight="1" x14ac:dyDescent="0.2">
      <c r="A18" s="140">
        <f>Datos!B26</f>
        <v>1</v>
      </c>
      <c r="B18" s="374" t="str">
        <f t="shared" ref="B18:B26" si="0">IFERROR(VLOOKUP(A18,Tabla_Datos,2,FALSE),"")</f>
        <v>Proyecto Ejecutivo y Replanteo</v>
      </c>
      <c r="C18" s="375"/>
      <c r="D18" s="162" t="str">
        <f t="shared" ref="D18:D27" si="1">IFERROR(VLOOKUP(A18,Tabla_Datos,3,FALSE),"")</f>
        <v>Gl</v>
      </c>
      <c r="E18" s="163">
        <f>Datos!E26</f>
        <v>1</v>
      </c>
      <c r="F18" s="164">
        <f>IFERROR(VLOOKUP(A18,Tabla_Analisis_Precio,7,FALSE),0)</f>
        <v>0</v>
      </c>
      <c r="G18" s="121">
        <f t="shared" ref="G18:G26" si="2">ROUND(PrecioUnitario(F18,Costo_Financiero,Gasto_Generales_Porcentaje,Beneficio,Ingresos_Brutos,IVA),2)</f>
        <v>0</v>
      </c>
      <c r="H18" s="121">
        <f>ROUND(E18*G18,2)</f>
        <v>0</v>
      </c>
      <c r="I18" s="165">
        <f t="shared" ref="I18:I26" si="3">IFERROR(H18/Monto_Oferta,0)</f>
        <v>0</v>
      </c>
    </row>
    <row r="19" spans="1:9" ht="24.95" customHeight="1" x14ac:dyDescent="0.2">
      <c r="A19" s="140">
        <f>Datos!B27</f>
        <v>2</v>
      </c>
      <c r="B19" s="374" t="str">
        <f t="shared" ref="B19:B20" si="4">IFERROR(VLOOKUP(A19,Tabla_Datos,2,FALSE),"")</f>
        <v>Base completa para columna simple</v>
      </c>
      <c r="C19" s="375"/>
      <c r="D19" s="162" t="str">
        <f t="shared" si="1"/>
        <v>Un</v>
      </c>
      <c r="E19" s="163">
        <f>Datos!E27</f>
        <v>90</v>
      </c>
      <c r="F19" s="164">
        <f t="shared" ref="F19:F26" si="5">IFERROR(VLOOKUP(A19,Tabla_Analisis_Precio,7,FALSE),0)</f>
        <v>0</v>
      </c>
      <c r="G19" s="121">
        <f t="shared" si="2"/>
        <v>0</v>
      </c>
      <c r="H19" s="121">
        <f t="shared" ref="H19:H26" si="6">ROUND(E19*G19,2)</f>
        <v>0</v>
      </c>
      <c r="I19" s="165">
        <f t="shared" si="3"/>
        <v>0</v>
      </c>
    </row>
    <row r="20" spans="1:9" ht="24.95" customHeight="1" x14ac:dyDescent="0.2">
      <c r="A20" s="140">
        <f>Datos!B28</f>
        <v>3</v>
      </c>
      <c r="B20" s="374" t="str">
        <f t="shared" si="4"/>
        <v>Base completa para columna doble</v>
      </c>
      <c r="C20" s="375"/>
      <c r="D20" s="162" t="str">
        <f t="shared" si="1"/>
        <v>Un</v>
      </c>
      <c r="E20" s="163">
        <f>Datos!E28</f>
        <v>11</v>
      </c>
      <c r="F20" s="164">
        <f t="shared" si="5"/>
        <v>0</v>
      </c>
      <c r="G20" s="121">
        <f t="shared" si="2"/>
        <v>0</v>
      </c>
      <c r="H20" s="121">
        <f t="shared" si="6"/>
        <v>0</v>
      </c>
      <c r="I20" s="165">
        <f t="shared" si="3"/>
        <v>0</v>
      </c>
    </row>
    <row r="21" spans="1:9" ht="24.95" customHeight="1" x14ac:dyDescent="0.2">
      <c r="A21" s="140">
        <f>Datos!B29</f>
        <v>4</v>
      </c>
      <c r="B21" s="374" t="str">
        <f t="shared" si="0"/>
        <v>Luminaria LED de potencia según pliego</v>
      </c>
      <c r="C21" s="375"/>
      <c r="D21" s="162" t="str">
        <f t="shared" si="1"/>
        <v>Un</v>
      </c>
      <c r="E21" s="163">
        <f>Datos!E29</f>
        <v>101</v>
      </c>
      <c r="F21" s="164">
        <f t="shared" si="5"/>
        <v>0</v>
      </c>
      <c r="G21" s="121">
        <f t="shared" si="2"/>
        <v>0</v>
      </c>
      <c r="H21" s="121">
        <f t="shared" si="6"/>
        <v>0</v>
      </c>
      <c r="I21" s="165">
        <f t="shared" si="3"/>
        <v>0</v>
      </c>
    </row>
    <row r="22" spans="1:9" ht="24.95" customHeight="1" x14ac:dyDescent="0.2">
      <c r="A22" s="140">
        <f>Datos!B30</f>
        <v>5</v>
      </c>
      <c r="B22" s="374" t="str">
        <f t="shared" si="0"/>
        <v>Columnas metálicas con brazo</v>
      </c>
      <c r="C22" s="375"/>
      <c r="D22" s="162" t="str">
        <f t="shared" si="1"/>
        <v>Un</v>
      </c>
      <c r="E22" s="163">
        <f>Datos!E30</f>
        <v>90</v>
      </c>
      <c r="F22" s="164">
        <f t="shared" si="5"/>
        <v>0</v>
      </c>
      <c r="G22" s="121">
        <f t="shared" si="2"/>
        <v>0</v>
      </c>
      <c r="H22" s="121">
        <f t="shared" si="6"/>
        <v>0</v>
      </c>
      <c r="I22" s="165">
        <f t="shared" si="3"/>
        <v>0</v>
      </c>
    </row>
    <row r="23" spans="1:9" ht="24.95" customHeight="1" x14ac:dyDescent="0.2">
      <c r="A23" s="140">
        <f>Datos!B31</f>
        <v>6</v>
      </c>
      <c r="B23" s="374" t="str">
        <f t="shared" si="0"/>
        <v>Columnas metálicas doble con brazo</v>
      </c>
      <c r="C23" s="375"/>
      <c r="D23" s="162" t="str">
        <f t="shared" si="1"/>
        <v>Un</v>
      </c>
      <c r="E23" s="163">
        <f>Datos!E31</f>
        <v>11</v>
      </c>
      <c r="F23" s="164">
        <f t="shared" si="5"/>
        <v>0</v>
      </c>
      <c r="G23" s="121">
        <f t="shared" si="2"/>
        <v>0</v>
      </c>
      <c r="H23" s="121">
        <f t="shared" si="6"/>
        <v>0</v>
      </c>
      <c r="I23" s="165">
        <f t="shared" si="3"/>
        <v>0</v>
      </c>
    </row>
    <row r="24" spans="1:9" ht="24.95" customHeight="1" x14ac:dyDescent="0.2">
      <c r="A24" s="140">
        <f>Datos!B32</f>
        <v>7</v>
      </c>
      <c r="B24" s="374" t="str">
        <f t="shared" si="0"/>
        <v>Conductor preensamblado de aluminio</v>
      </c>
      <c r="C24" s="375"/>
      <c r="D24" s="162" t="str">
        <f t="shared" si="1"/>
        <v>m</v>
      </c>
      <c r="E24" s="163">
        <f>Datos!E32</f>
        <v>2650</v>
      </c>
      <c r="F24" s="164">
        <f t="shared" si="5"/>
        <v>0</v>
      </c>
      <c r="G24" s="121">
        <f t="shared" si="2"/>
        <v>0</v>
      </c>
      <c r="H24" s="121">
        <f t="shared" si="6"/>
        <v>0</v>
      </c>
      <c r="I24" s="165">
        <f t="shared" si="3"/>
        <v>0</v>
      </c>
    </row>
    <row r="25" spans="1:9" ht="24.95" customHeight="1" x14ac:dyDescent="0.2">
      <c r="A25" s="140">
        <f>Datos!B33</f>
        <v>8</v>
      </c>
      <c r="B25" s="374" t="str">
        <f t="shared" si="0"/>
        <v>Puesta a tierra completa</v>
      </c>
      <c r="C25" s="375"/>
      <c r="D25" s="162" t="str">
        <f t="shared" si="1"/>
        <v>Cj</v>
      </c>
      <c r="E25" s="163">
        <f>Datos!E33</f>
        <v>101</v>
      </c>
      <c r="F25" s="164">
        <f t="shared" si="5"/>
        <v>0</v>
      </c>
      <c r="G25" s="121">
        <f t="shared" si="2"/>
        <v>0</v>
      </c>
      <c r="H25" s="121">
        <f t="shared" si="6"/>
        <v>0</v>
      </c>
      <c r="I25" s="165">
        <f t="shared" si="3"/>
        <v>0</v>
      </c>
    </row>
    <row r="26" spans="1:9" ht="24.95" customHeight="1" x14ac:dyDescent="0.2">
      <c r="A26" s="140">
        <f>Datos!B34</f>
        <v>9</v>
      </c>
      <c r="B26" s="374" t="str">
        <f t="shared" si="0"/>
        <v>Estructuras de alineación, retención y terminal para cable preensamblado</v>
      </c>
      <c r="C26" s="375"/>
      <c r="D26" s="162" t="str">
        <f t="shared" si="1"/>
        <v>Cj</v>
      </c>
      <c r="E26" s="163">
        <f>Datos!E34</f>
        <v>101</v>
      </c>
      <c r="F26" s="164">
        <f t="shared" si="5"/>
        <v>0</v>
      </c>
      <c r="G26" s="121">
        <f t="shared" si="2"/>
        <v>0</v>
      </c>
      <c r="H26" s="121">
        <f t="shared" si="6"/>
        <v>0</v>
      </c>
      <c r="I26" s="165">
        <f t="shared" si="3"/>
        <v>0</v>
      </c>
    </row>
    <row r="27" spans="1:9" ht="24.95" customHeight="1" x14ac:dyDescent="0.2">
      <c r="A27" s="140">
        <f>Datos!B35</f>
        <v>10</v>
      </c>
      <c r="B27" s="374" t="str">
        <f t="shared" ref="B27" si="7">IFERROR(VLOOKUP(A27,Tabla_Datos,2,FALSE),"")</f>
        <v>Tableros de comando y medición trifasicos completos</v>
      </c>
      <c r="C27" s="375"/>
      <c r="D27" s="162" t="str">
        <f t="shared" si="1"/>
        <v>Cj</v>
      </c>
      <c r="E27" s="163">
        <f>Datos!E35</f>
        <v>3</v>
      </c>
      <c r="F27" s="164"/>
      <c r="G27" s="121"/>
      <c r="H27" s="121"/>
      <c r="I27" s="165"/>
    </row>
    <row r="28" spans="1:9" ht="24.95" customHeight="1" x14ac:dyDescent="0.2">
      <c r="A28" s="329"/>
      <c r="B28" s="168"/>
      <c r="C28" s="168"/>
      <c r="D28" s="169"/>
      <c r="E28" s="330"/>
      <c r="F28" s="331"/>
      <c r="G28" s="332"/>
      <c r="H28" s="331"/>
      <c r="I28" s="172"/>
    </row>
    <row r="29" spans="1:9" ht="20.100000000000001" customHeight="1" x14ac:dyDescent="0.2">
      <c r="A29" s="166"/>
      <c r="B29" s="167"/>
      <c r="C29" s="168"/>
      <c r="D29" s="169"/>
      <c r="E29" s="170"/>
      <c r="F29" s="171"/>
      <c r="G29" s="171"/>
      <c r="I29" s="172"/>
    </row>
    <row r="30" spans="1:9" ht="20.100000000000001" customHeight="1" x14ac:dyDescent="0.2">
      <c r="A30" s="173" t="s">
        <v>3</v>
      </c>
      <c r="B30" s="264" t="s">
        <v>1190</v>
      </c>
      <c r="C30" s="174"/>
      <c r="D30" s="174"/>
      <c r="E30" s="174"/>
      <c r="F30" s="175">
        <f>ROUND(SUMPRODUCT(E18:E27,F18:F27),2)</f>
        <v>0</v>
      </c>
      <c r="G30" s="130" t="s">
        <v>1037</v>
      </c>
      <c r="H30" s="324">
        <f>SUM(H18:H27)</f>
        <v>0</v>
      </c>
      <c r="I30" s="176">
        <f>SUM(I18:I29)</f>
        <v>0</v>
      </c>
    </row>
    <row r="31" spans="1:9" ht="20.100000000000001" customHeight="1" thickBot="1" x14ac:dyDescent="0.25">
      <c r="G31" s="177"/>
    </row>
    <row r="32" spans="1:9" ht="20.100000000000001" customHeight="1" thickTop="1" x14ac:dyDescent="0.2">
      <c r="A32" s="178" t="s">
        <v>992</v>
      </c>
      <c r="B32" s="179" t="s">
        <v>1191</v>
      </c>
      <c r="C32" s="180"/>
      <c r="D32" s="181"/>
      <c r="E32" s="182"/>
      <c r="F32" s="183"/>
      <c r="G32" s="182"/>
      <c r="H32" s="184">
        <f>ROUND(H41/Coeficiente_Paso,2)</f>
        <v>0</v>
      </c>
      <c r="I32" s="185"/>
    </row>
    <row r="33" spans="1:11" ht="20.100000000000001" customHeight="1" x14ac:dyDescent="0.2">
      <c r="A33" s="186" t="s">
        <v>993</v>
      </c>
      <c r="B33" s="191" t="str">
        <f>"COSTO FINANCIERO  "&amp;ROUND(Costo_Financiero*100,2)&amp;" % de ( 1 )"</f>
        <v>COSTO FINANCIERO  0 % de ( 1 )</v>
      </c>
      <c r="C33" s="192"/>
      <c r="D33" s="265"/>
      <c r="E33" s="189">
        <f>Costo_Financiero</f>
        <v>0</v>
      </c>
      <c r="F33" s="90"/>
      <c r="G33" s="143"/>
      <c r="H33" s="190">
        <f>ROUND(H32*Costo_Financiero,2)</f>
        <v>0</v>
      </c>
      <c r="I33" s="185"/>
    </row>
    <row r="34" spans="1:11" ht="20.100000000000001" customHeight="1" x14ac:dyDescent="0.2">
      <c r="A34" s="186" t="s">
        <v>994</v>
      </c>
      <c r="B34" s="191" t="s">
        <v>1196</v>
      </c>
      <c r="C34" s="192"/>
      <c r="D34" s="265"/>
      <c r="E34" s="336"/>
      <c r="F34" s="90"/>
      <c r="G34" s="143"/>
      <c r="H34" s="190">
        <f>H32+H33</f>
        <v>0</v>
      </c>
      <c r="I34" s="185"/>
    </row>
    <row r="35" spans="1:11" ht="20.100000000000001" customHeight="1" x14ac:dyDescent="0.2">
      <c r="A35" s="186" t="s">
        <v>995</v>
      </c>
      <c r="B35" s="187" t="str">
        <f>CONCATENATE("GASTOS GENERALES  ",ROUND(Gasto_Generales_Porcentaje*100,3)," % de ( 3 )")</f>
        <v>GASTOS GENERALES  0 % de ( 3 )</v>
      </c>
      <c r="C35" s="187"/>
      <c r="D35" s="188"/>
      <c r="E35" s="189">
        <f>Gasto_Generales_Porcentaje</f>
        <v>0</v>
      </c>
      <c r="F35" s="90"/>
      <c r="G35" s="143"/>
      <c r="H35" s="190">
        <f>ROUND(Gasto_Generales_Porcentaje*H34,2)</f>
        <v>0</v>
      </c>
      <c r="I35" s="188"/>
    </row>
    <row r="36" spans="1:11" ht="20.100000000000001" customHeight="1" x14ac:dyDescent="0.2">
      <c r="A36" s="186" t="s">
        <v>996</v>
      </c>
      <c r="B36" s="187" t="str">
        <f>CONCATENATE("BENEFICIOS  ",ROUND(Beneficio*100,2)," % de ( 3 )")</f>
        <v>BENEFICIOS  0 % de ( 3 )</v>
      </c>
      <c r="C36" s="187"/>
      <c r="D36" s="188"/>
      <c r="E36" s="189">
        <f>Beneficio</f>
        <v>0</v>
      </c>
      <c r="F36" s="90"/>
      <c r="G36" s="143"/>
      <c r="H36" s="190">
        <f>IF(Beneficio=0,,ROUND(Beneficio*H34,2))</f>
        <v>0</v>
      </c>
      <c r="I36" s="188"/>
    </row>
    <row r="37" spans="1:11" ht="20.100000000000001" customHeight="1" x14ac:dyDescent="0.2">
      <c r="A37" s="186">
        <v>6</v>
      </c>
      <c r="B37" s="191" t="s">
        <v>1192</v>
      </c>
      <c r="C37" s="192"/>
      <c r="D37" s="188"/>
      <c r="E37" s="336"/>
      <c r="F37" s="90"/>
      <c r="G37" s="143"/>
      <c r="H37" s="190">
        <f>H34+H35+H36</f>
        <v>0</v>
      </c>
      <c r="I37" s="188"/>
    </row>
    <row r="38" spans="1:11" ht="20.100000000000001" customHeight="1" x14ac:dyDescent="0.2">
      <c r="A38" s="186" t="s">
        <v>1193</v>
      </c>
      <c r="B38" s="187" t="str">
        <f>CONCATENATE("INGRESOS BRUTOS Y LOTE HOGAR  ",ROUND(Ingresos_Brutos*100,2)," % de ( 6 )")</f>
        <v>INGRESOS BRUTOS Y LOTE HOGAR  0 % de ( 6 )</v>
      </c>
      <c r="C38" s="187"/>
      <c r="D38" s="188"/>
      <c r="E38" s="189">
        <f>Ingresos_Brutos</f>
        <v>0</v>
      </c>
      <c r="F38" s="90"/>
      <c r="G38" s="143"/>
      <c r="H38" s="190">
        <f>ROUND(Ingresos_Brutos*H37,2)</f>
        <v>0</v>
      </c>
      <c r="I38" s="188"/>
    </row>
    <row r="39" spans="1:11" ht="20.100000000000001" customHeight="1" thickBot="1" x14ac:dyDescent="0.25">
      <c r="A39" s="193" t="s">
        <v>1194</v>
      </c>
      <c r="B39" s="194" t="str">
        <f>CONCATENATE("IMPUESTO AL VALOR AGREGADO ",IVA*100," % de ( 6 )")</f>
        <v>IMPUESTO AL VALOR AGREGADO 0 % de ( 6 )</v>
      </c>
      <c r="C39" s="194"/>
      <c r="D39" s="195"/>
      <c r="E39" s="196">
        <f>IVA</f>
        <v>0</v>
      </c>
      <c r="F39" s="197"/>
      <c r="G39" s="198"/>
      <c r="H39" s="199">
        <f>ROUND(IVA*H37,2)</f>
        <v>0</v>
      </c>
      <c r="I39" s="188"/>
    </row>
    <row r="40" spans="1:11" ht="20.100000000000001" customHeight="1" thickTop="1" x14ac:dyDescent="0.2">
      <c r="A40" s="200"/>
      <c r="B40" s="187"/>
      <c r="C40" s="187"/>
      <c r="D40" s="188"/>
      <c r="E40" s="189"/>
      <c r="F40" s="90"/>
      <c r="H40" s="201"/>
      <c r="I40" s="188"/>
    </row>
    <row r="41" spans="1:11" ht="20.100000000000001" customHeight="1" x14ac:dyDescent="0.2">
      <c r="A41" s="202"/>
      <c r="B41" s="202" t="s">
        <v>1037</v>
      </c>
      <c r="C41" s="202"/>
      <c r="D41" s="188"/>
      <c r="E41" s="143"/>
      <c r="F41" s="90"/>
      <c r="H41" s="201">
        <f>Monto_Oferta</f>
        <v>0</v>
      </c>
      <c r="I41" s="188"/>
      <c r="J41" s="322"/>
      <c r="K41" s="323"/>
    </row>
    <row r="42" spans="1:11" ht="20.100000000000001" customHeight="1" x14ac:dyDescent="0.2">
      <c r="I42" s="203"/>
    </row>
    <row r="43" spans="1:11" ht="60" customHeight="1" x14ac:dyDescent="0.2">
      <c r="B43" s="372" t="str">
        <f>"El presente presupuesto asciende a la suma de: " &amp; UPPER(CONVERTIRNUM(Monto_Oferta))</f>
        <v>El presente presupuesto asciende a la suma de: CERO PESOS CON 00/100</v>
      </c>
      <c r="C43" s="372"/>
      <c r="D43" s="372"/>
      <c r="E43" s="372"/>
      <c r="F43" s="372"/>
      <c r="G43" s="372"/>
      <c r="H43" s="372"/>
      <c r="I43" s="372"/>
    </row>
    <row r="44" spans="1:11" x14ac:dyDescent="0.2">
      <c r="A44" s="91" t="s">
        <v>1011</v>
      </c>
    </row>
    <row r="48" spans="1:11" x14ac:dyDescent="0.2">
      <c r="H48" s="337"/>
    </row>
    <row r="207" spans="2:2" x14ac:dyDescent="0.2">
      <c r="B207" s="156">
        <v>4</v>
      </c>
    </row>
    <row r="257" spans="2:2" x14ac:dyDescent="0.2">
      <c r="B257" s="156">
        <v>4</v>
      </c>
    </row>
    <row r="307" spans="2:2" x14ac:dyDescent="0.2">
      <c r="B307" s="156">
        <v>4</v>
      </c>
    </row>
    <row r="357" spans="2:2" x14ac:dyDescent="0.2">
      <c r="B357" s="156">
        <v>4</v>
      </c>
    </row>
    <row r="407" spans="2:2" x14ac:dyDescent="0.2">
      <c r="B407" s="156">
        <v>5</v>
      </c>
    </row>
    <row r="457" spans="2:2" x14ac:dyDescent="0.2">
      <c r="B457" s="156">
        <v>5</v>
      </c>
    </row>
    <row r="507" spans="2:2" x14ac:dyDescent="0.2">
      <c r="B507" s="156">
        <v>5</v>
      </c>
    </row>
    <row r="557" spans="2:2" x14ac:dyDescent="0.2">
      <c r="B557" s="156">
        <v>5</v>
      </c>
    </row>
    <row r="607" spans="2:2" x14ac:dyDescent="0.2">
      <c r="B607" s="156">
        <v>5</v>
      </c>
    </row>
    <row r="657" spans="2:2" x14ac:dyDescent="0.2">
      <c r="B657" s="156">
        <v>5</v>
      </c>
    </row>
    <row r="707" spans="2:2" x14ac:dyDescent="0.2">
      <c r="B707" s="156">
        <v>5</v>
      </c>
    </row>
    <row r="757" spans="2:2" x14ac:dyDescent="0.2">
      <c r="B757" s="156">
        <v>5</v>
      </c>
    </row>
    <row r="807" spans="2:2" x14ac:dyDescent="0.2">
      <c r="B807" s="156">
        <v>5</v>
      </c>
    </row>
    <row r="857" spans="2:2" x14ac:dyDescent="0.2">
      <c r="B857" s="156">
        <v>5</v>
      </c>
    </row>
    <row r="907" spans="2:2" x14ac:dyDescent="0.2">
      <c r="B907" s="156">
        <v>5</v>
      </c>
    </row>
    <row r="957" spans="2:2" x14ac:dyDescent="0.2">
      <c r="B957" s="156">
        <v>5</v>
      </c>
    </row>
    <row r="958" spans="2:2" x14ac:dyDescent="0.2">
      <c r="B958" s="156" t="e">
        <f>CyP!#REF!</f>
        <v>#REF!</v>
      </c>
    </row>
    <row r="1007" spans="2:2" x14ac:dyDescent="0.2">
      <c r="B1007" s="156">
        <v>5</v>
      </c>
    </row>
    <row r="1008" spans="2:2" x14ac:dyDescent="0.2">
      <c r="B1008" s="156" t="e">
        <f>CyP!#REF!</f>
        <v>#REF!</v>
      </c>
    </row>
    <row r="1057" spans="2:2" x14ac:dyDescent="0.2">
      <c r="B1057" s="156">
        <v>5</v>
      </c>
    </row>
    <row r="1058" spans="2:2" x14ac:dyDescent="0.2">
      <c r="B1058" s="156" t="e">
        <f>CyP!#REF!</f>
        <v>#REF!</v>
      </c>
    </row>
    <row r="1107" spans="2:2" x14ac:dyDescent="0.2">
      <c r="B1107" s="156">
        <v>5</v>
      </c>
    </row>
    <row r="1108" spans="2:2" x14ac:dyDescent="0.2">
      <c r="B1108" s="156" t="e">
        <f>CyP!#REF!</f>
        <v>#REF!</v>
      </c>
    </row>
    <row r="1158" spans="2:2" x14ac:dyDescent="0.2">
      <c r="B1158" s="156" t="e">
        <f>CyP!#REF!</f>
        <v>#REF!</v>
      </c>
    </row>
    <row r="1207" spans="2:2" x14ac:dyDescent="0.2">
      <c r="B1207" s="156">
        <v>7</v>
      </c>
    </row>
    <row r="1208" spans="2:2" x14ac:dyDescent="0.2">
      <c r="B1208" s="156" t="e">
        <f>CyP!#REF!</f>
        <v>#REF!</v>
      </c>
    </row>
    <row r="1258" spans="2:2" x14ac:dyDescent="0.2">
      <c r="B1258" s="156" t="e">
        <f>CyP!#REF!</f>
        <v>#REF!</v>
      </c>
    </row>
    <row r="1307" spans="2:2" x14ac:dyDescent="0.2">
      <c r="B1307" s="156">
        <v>8</v>
      </c>
    </row>
    <row r="1308" spans="2:2" x14ac:dyDescent="0.2">
      <c r="B1308" s="156" t="e">
        <f>CyP!#REF!</f>
        <v>#REF!</v>
      </c>
    </row>
    <row r="1357" spans="2:2" x14ac:dyDescent="0.2">
      <c r="B1357" s="156">
        <v>8</v>
      </c>
    </row>
    <row r="1358" spans="2:2" x14ac:dyDescent="0.2">
      <c r="B1358" s="156" t="e">
        <f>CyP!#REF!</f>
        <v>#REF!</v>
      </c>
    </row>
    <row r="1407" spans="2:2" x14ac:dyDescent="0.2">
      <c r="B1407" s="156">
        <v>8</v>
      </c>
    </row>
    <row r="1408" spans="2:2" x14ac:dyDescent="0.2">
      <c r="B1408" s="156" t="e">
        <f>CyP!#REF!</f>
        <v>#REF!</v>
      </c>
    </row>
    <row r="1457" spans="2:2" x14ac:dyDescent="0.2">
      <c r="B1457" s="156">
        <v>8</v>
      </c>
    </row>
    <row r="1458" spans="2:2" x14ac:dyDescent="0.2">
      <c r="B1458" s="156" t="e">
        <f>CyP!#REF!</f>
        <v>#REF!</v>
      </c>
    </row>
    <row r="1507" spans="2:2" x14ac:dyDescent="0.2">
      <c r="B1507" s="156">
        <v>8</v>
      </c>
    </row>
    <row r="1508" spans="2:2" x14ac:dyDescent="0.2">
      <c r="B1508" s="156" t="e">
        <f>CyP!#REF!</f>
        <v>#REF!</v>
      </c>
    </row>
    <row r="1558" spans="2:2" x14ac:dyDescent="0.2">
      <c r="B1558" s="156" t="e">
        <f>CyP!#REF!</f>
        <v>#REF!</v>
      </c>
    </row>
    <row r="1608" spans="2:2" x14ac:dyDescent="0.2">
      <c r="B1608" s="156" t="e">
        <f>CyP!#REF!</f>
        <v>#REF!</v>
      </c>
    </row>
    <row r="1658" spans="2:2" x14ac:dyDescent="0.2">
      <c r="B1658" s="156" t="e">
        <f>CyP!#REF!</f>
        <v>#REF!</v>
      </c>
    </row>
    <row r="1707" spans="2:2" x14ac:dyDescent="0.2">
      <c r="B1707" s="156">
        <v>12</v>
      </c>
    </row>
    <row r="1708" spans="2:2" x14ac:dyDescent="0.2">
      <c r="B1708" s="156" t="e">
        <f>CyP!#REF!</f>
        <v>#REF!</v>
      </c>
    </row>
    <row r="1757" spans="2:2" x14ac:dyDescent="0.2">
      <c r="B1757" s="156">
        <v>12</v>
      </c>
    </row>
    <row r="1758" spans="2:2" x14ac:dyDescent="0.2">
      <c r="B1758" s="156" t="e">
        <f>CyP!#REF!</f>
        <v>#REF!</v>
      </c>
    </row>
    <row r="1807" spans="2:2" x14ac:dyDescent="0.2">
      <c r="B1807" s="156">
        <v>12</v>
      </c>
    </row>
    <row r="1808" spans="2:2" x14ac:dyDescent="0.2">
      <c r="B1808" s="156" t="e">
        <f>CyP!#REF!</f>
        <v>#REF!</v>
      </c>
    </row>
    <row r="1857" spans="2:2" x14ac:dyDescent="0.2">
      <c r="B1857" s="156">
        <v>12</v>
      </c>
    </row>
    <row r="1858" spans="2:2" x14ac:dyDescent="0.2">
      <c r="B1858" s="156" t="e">
        <f>CyP!#REF!</f>
        <v>#REF!</v>
      </c>
    </row>
    <row r="1907" spans="2:2" x14ac:dyDescent="0.2">
      <c r="B1907" s="156">
        <v>12</v>
      </c>
    </row>
    <row r="1908" spans="2:2" x14ac:dyDescent="0.2">
      <c r="B1908" s="156" t="e">
        <f>CyP!#REF!</f>
        <v>#REF!</v>
      </c>
    </row>
    <row r="1957" spans="2:2" x14ac:dyDescent="0.2">
      <c r="B1957" s="156">
        <v>13</v>
      </c>
    </row>
    <row r="1958" spans="2:2" x14ac:dyDescent="0.2">
      <c r="B1958" s="156" t="e">
        <f>CyP!#REF!</f>
        <v>#REF!</v>
      </c>
    </row>
    <row r="2007" spans="2:2" x14ac:dyDescent="0.2">
      <c r="B2007" s="156">
        <v>13</v>
      </c>
    </row>
    <row r="2008" spans="2:2" x14ac:dyDescent="0.2">
      <c r="B2008" s="156" t="e">
        <f>CyP!#REF!</f>
        <v>#REF!</v>
      </c>
    </row>
  </sheetData>
  <mergeCells count="19">
    <mergeCell ref="B26:C26"/>
    <mergeCell ref="A15:A16"/>
    <mergeCell ref="B15:C16"/>
    <mergeCell ref="B43:I43"/>
    <mergeCell ref="F15:F16"/>
    <mergeCell ref="G15:G16"/>
    <mergeCell ref="B18:C18"/>
    <mergeCell ref="B19:C19"/>
    <mergeCell ref="B20:C20"/>
    <mergeCell ref="B21:C21"/>
    <mergeCell ref="B22:C22"/>
    <mergeCell ref="B23:C23"/>
    <mergeCell ref="B24:C24"/>
    <mergeCell ref="D15:D16"/>
    <mergeCell ref="B27:C27"/>
    <mergeCell ref="E15:E16"/>
    <mergeCell ref="I15:I16"/>
    <mergeCell ref="H15:H16"/>
    <mergeCell ref="B25:C25"/>
  </mergeCells>
  <conditionalFormatting sqref="A35:D41 I42">
    <cfRule type="expression" dxfId="116" priority="287" stopIfTrue="1">
      <formula>#REF!=1</formula>
    </cfRule>
  </conditionalFormatting>
  <conditionalFormatting sqref="A18:A29">
    <cfRule type="expression" dxfId="115" priority="288" stopIfTrue="1">
      <formula>#REF!&gt;0</formula>
    </cfRule>
    <cfRule type="expression" dxfId="114" priority="289" stopIfTrue="1">
      <formula>#REF!&gt;0</formula>
    </cfRule>
    <cfRule type="expression" dxfId="113" priority="290" stopIfTrue="1">
      <formula>#REF!&gt;0</formula>
    </cfRule>
  </conditionalFormatting>
  <conditionalFormatting sqref="B29:C29 B21:B26 B28 E18:E28">
    <cfRule type="expression" dxfId="112" priority="291" stopIfTrue="1">
      <formula>#REF!&gt;0</formula>
    </cfRule>
    <cfRule type="expression" dxfId="111" priority="292" stopIfTrue="1">
      <formula>#REF!&gt;0</formula>
    </cfRule>
    <cfRule type="expression" dxfId="110" priority="293" stopIfTrue="1">
      <formula>#REF!&gt;0</formula>
    </cfRule>
  </conditionalFormatting>
  <conditionalFormatting sqref="A34:D34 B35:C36 B38:C41 A36 A38">
    <cfRule type="expression" dxfId="109" priority="294" stopIfTrue="1">
      <formula>#REF!=1</formula>
    </cfRule>
  </conditionalFormatting>
  <conditionalFormatting sqref="D34:D41 B34:C36 B38:C41 A34:A41 F34:F41 H35:I36 H38:I41 I37 I34">
    <cfRule type="expression" dxfId="108" priority="295" stopIfTrue="1">
      <formula>#REF!=1</formula>
    </cfRule>
  </conditionalFormatting>
  <conditionalFormatting sqref="I35">
    <cfRule type="expression" dxfId="107" priority="285" stopIfTrue="1">
      <formula>#REF!=1</formula>
    </cfRule>
  </conditionalFormatting>
  <conditionalFormatting sqref="I37">
    <cfRule type="expression" dxfId="106" priority="284" stopIfTrue="1">
      <formula>#REF!=1</formula>
    </cfRule>
  </conditionalFormatting>
  <conditionalFormatting sqref="I39:I40">
    <cfRule type="expression" dxfId="105" priority="283" stopIfTrue="1">
      <formula>#REF!=1</formula>
    </cfRule>
  </conditionalFormatting>
  <conditionalFormatting sqref="I41">
    <cfRule type="expression" dxfId="104" priority="282" stopIfTrue="1">
      <formula>#REF!=1</formula>
    </cfRule>
  </conditionalFormatting>
  <conditionalFormatting sqref="I38">
    <cfRule type="expression" dxfId="103" priority="281" stopIfTrue="1">
      <formula>#REF!=1</formula>
    </cfRule>
  </conditionalFormatting>
  <conditionalFormatting sqref="I36">
    <cfRule type="expression" dxfId="102" priority="280" stopIfTrue="1">
      <formula>#REF!=1</formula>
    </cfRule>
  </conditionalFormatting>
  <conditionalFormatting sqref="A34 A36 A38">
    <cfRule type="expression" dxfId="101" priority="279" stopIfTrue="1">
      <formula>#REF!=1</formula>
    </cfRule>
  </conditionalFormatting>
  <conditionalFormatting sqref="B34:C34">
    <cfRule type="expression" dxfId="100" priority="278" stopIfTrue="1">
      <formula>#REF!=1</formula>
    </cfRule>
  </conditionalFormatting>
  <conditionalFormatting sqref="B37:C37">
    <cfRule type="expression" dxfId="99" priority="277" stopIfTrue="1">
      <formula>#REF!=1</formula>
    </cfRule>
  </conditionalFormatting>
  <conditionalFormatting sqref="B39:C40">
    <cfRule type="expression" dxfId="98" priority="276" stopIfTrue="1">
      <formula>#REF!=1</formula>
    </cfRule>
  </conditionalFormatting>
  <conditionalFormatting sqref="A35 A37 A39:A40">
    <cfRule type="expression" dxfId="97" priority="275" stopIfTrue="1">
      <formula>#REF!=1</formula>
    </cfRule>
  </conditionalFormatting>
  <conditionalFormatting sqref="A35 A37 A39:A40">
    <cfRule type="expression" dxfId="96" priority="274" stopIfTrue="1">
      <formula>#REF!=1</formula>
    </cfRule>
  </conditionalFormatting>
  <conditionalFormatting sqref="B38:C38">
    <cfRule type="expression" dxfId="95" priority="144" stopIfTrue="1">
      <formula>#REF!=1</formula>
    </cfRule>
  </conditionalFormatting>
  <conditionalFormatting sqref="B18:B20">
    <cfRule type="expression" dxfId="94" priority="42" stopIfTrue="1">
      <formula>#REF!&gt;0</formula>
    </cfRule>
    <cfRule type="expression" dxfId="93" priority="43" stopIfTrue="1">
      <formula>#REF!&gt;0</formula>
    </cfRule>
    <cfRule type="expression" dxfId="92" priority="44" stopIfTrue="1">
      <formula>#REF!&gt;0</formula>
    </cfRule>
  </conditionalFormatting>
  <conditionalFormatting sqref="A30">
    <cfRule type="expression" dxfId="91" priority="18" stopIfTrue="1">
      <formula>#REF!&gt;0</formula>
    </cfRule>
    <cfRule type="expression" dxfId="90" priority="19" stopIfTrue="1">
      <formula>#REF!&gt;0</formula>
    </cfRule>
    <cfRule type="expression" dxfId="89" priority="20" stopIfTrue="1">
      <formula>#REF!&gt;0</formula>
    </cfRule>
  </conditionalFormatting>
  <conditionalFormatting sqref="H37">
    <cfRule type="expression" dxfId="88" priority="17" stopIfTrue="1">
      <formula>#REF!=1</formula>
    </cfRule>
  </conditionalFormatting>
  <conditionalFormatting sqref="H34">
    <cfRule type="expression" dxfId="87" priority="16" stopIfTrue="1">
      <formula>#REF!=1</formula>
    </cfRule>
  </conditionalFormatting>
  <conditionalFormatting sqref="A32:D33">
    <cfRule type="expression" dxfId="86" priority="11" stopIfTrue="1">
      <formula>#REF!=1</formula>
    </cfRule>
  </conditionalFormatting>
  <conditionalFormatting sqref="A32:D33 F32:F33 I32:I33 A34">
    <cfRule type="expression" dxfId="85" priority="12" stopIfTrue="1">
      <formula>#REF!=1</formula>
    </cfRule>
  </conditionalFormatting>
  <conditionalFormatting sqref="A32:A34">
    <cfRule type="expression" dxfId="84" priority="10" stopIfTrue="1">
      <formula>#REF!=1</formula>
    </cfRule>
  </conditionalFormatting>
  <conditionalFormatting sqref="B32:C33">
    <cfRule type="expression" dxfId="83" priority="9" stopIfTrue="1">
      <formula>#REF!=1</formula>
    </cfRule>
  </conditionalFormatting>
  <conditionalFormatting sqref="H32">
    <cfRule type="expression" dxfId="82" priority="8" stopIfTrue="1">
      <formula>#REF!=1</formula>
    </cfRule>
  </conditionalFormatting>
  <conditionalFormatting sqref="H33">
    <cfRule type="expression" dxfId="81" priority="7" stopIfTrue="1">
      <formula>#REF!=1</formula>
    </cfRule>
  </conditionalFormatting>
  <conditionalFormatting sqref="B27">
    <cfRule type="expression" dxfId="80" priority="4" stopIfTrue="1">
      <formula>#REF!&gt;0</formula>
    </cfRule>
    <cfRule type="expression" dxfId="79" priority="5" stopIfTrue="1">
      <formula>#REF!&gt;0</formula>
    </cfRule>
    <cfRule type="expression" dxfId="78"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2" t="str">
        <f>"OBRA: " &amp; UPPER(Obra)</f>
        <v>OBRA: “ILUMINACIÓN RUTA PROVINCIAL N°262 DESDE RN Nº 20 HASTA AV. DE LOS RIOS – DPTO CAUCETE”</v>
      </c>
      <c r="D1" s="382"/>
      <c r="E1" s="382"/>
      <c r="F1" s="382"/>
      <c r="G1" s="382"/>
      <c r="H1" s="382"/>
      <c r="I1" s="382"/>
      <c r="J1" s="382"/>
      <c r="K1" s="382"/>
      <c r="L1" s="382"/>
    </row>
    <row r="2" spans="3:12" ht="23.25" x14ac:dyDescent="0.35">
      <c r="C2" s="382" t="s">
        <v>1026</v>
      </c>
      <c r="D2" s="382"/>
      <c r="E2" s="382"/>
      <c r="F2" s="382"/>
      <c r="G2" s="382"/>
      <c r="H2" s="382"/>
      <c r="I2" s="382"/>
      <c r="J2" s="382"/>
      <c r="K2" s="382"/>
      <c r="L2" s="382"/>
    </row>
    <row r="3" spans="3:12" ht="23.25" x14ac:dyDescent="0.35">
      <c r="C3" s="382" t="s">
        <v>1027</v>
      </c>
      <c r="D3" s="382"/>
      <c r="E3" s="382"/>
      <c r="F3" s="382"/>
      <c r="G3" s="382"/>
      <c r="H3" s="382"/>
      <c r="I3" s="382"/>
      <c r="J3" s="382"/>
      <c r="K3" s="382"/>
      <c r="L3" s="38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3" t="str">
        <f>"OBRA: " &amp; UPPER(Obra)</f>
        <v>OBRA: “ILUMINACIÓN RUTA PROVINCIAL N°262 DESDE RN Nº 20 HASTA AV. DE LOS RIOS – DPTO CAUCETE”</v>
      </c>
      <c r="D1" s="383"/>
      <c r="E1" s="383"/>
      <c r="F1" s="383"/>
      <c r="G1" s="383"/>
      <c r="H1" s="383"/>
      <c r="I1" s="383"/>
      <c r="J1" s="383"/>
    </row>
    <row r="2" spans="3:10" ht="23.25" x14ac:dyDescent="0.35">
      <c r="C2" s="382" t="s">
        <v>1028</v>
      </c>
      <c r="D2" s="382"/>
      <c r="E2" s="382"/>
      <c r="F2" s="382"/>
      <c r="G2" s="382"/>
      <c r="H2" s="382"/>
      <c r="I2" s="382"/>
      <c r="J2" s="382"/>
    </row>
    <row r="3" spans="3:10" ht="23.25" x14ac:dyDescent="0.35">
      <c r="C3" s="382" t="s">
        <v>1029</v>
      </c>
      <c r="D3" s="382"/>
      <c r="E3" s="382"/>
      <c r="F3" s="382"/>
      <c r="G3" s="382"/>
      <c r="H3" s="382"/>
      <c r="I3" s="382"/>
      <c r="J3" s="38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RUTA PROVINCIAL N°262 DESDE RN Nº 20 HASTA AV. DE LOS RIOS – DPTO CAUCETE”</v>
      </c>
    </row>
    <row r="3" spans="1:7" s="6" customFormat="1" ht="20.100000000000001" customHeight="1" x14ac:dyDescent="0.2">
      <c r="A3" s="13" t="s">
        <v>16</v>
      </c>
      <c r="B3" s="13" t="str">
        <f>Ubicación</f>
        <v>Departamento de Chimbas</v>
      </c>
    </row>
    <row r="4" spans="1:7" s="6" customFormat="1" ht="20.100000000000001" customHeight="1" x14ac:dyDescent="0.2">
      <c r="A4" s="13" t="s">
        <v>15</v>
      </c>
      <c r="B4" s="14" t="str">
        <f>Licitación_N°</f>
        <v>Licitación Privada 04/22</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8" t="s">
        <v>40</v>
      </c>
      <c r="B7" s="389"/>
      <c r="C7" s="389"/>
      <c r="D7" s="389"/>
      <c r="E7" s="390"/>
    </row>
    <row r="8" spans="1:7" ht="20.100000000000001" customHeight="1" x14ac:dyDescent="0.2">
      <c r="A8" s="391" t="s">
        <v>599</v>
      </c>
      <c r="B8" s="392"/>
      <c r="C8" s="393"/>
      <c r="D8" s="393"/>
      <c r="E8" s="394"/>
    </row>
    <row r="10" spans="1:7" ht="20.100000000000001" customHeight="1" x14ac:dyDescent="0.2">
      <c r="A10" s="386"/>
      <c r="B10" s="387"/>
      <c r="C10" s="70" t="s">
        <v>44</v>
      </c>
      <c r="D10" s="71" t="s">
        <v>41</v>
      </c>
      <c r="E10" s="71" t="s">
        <v>42</v>
      </c>
    </row>
    <row r="11" spans="1:7" ht="20.100000000000001" customHeight="1" x14ac:dyDescent="0.2">
      <c r="A11" s="384" t="s">
        <v>1016</v>
      </c>
      <c r="B11" s="385"/>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6"/>
      <c r="B18" s="387"/>
      <c r="C18" s="95"/>
      <c r="D18" s="15">
        <f t="shared" ref="D18:D19" si="0">IFERROR(C18/GG_Obra,0)</f>
        <v>0</v>
      </c>
      <c r="E18" s="15">
        <f t="shared" ref="E18:E19" si="1">IFERROR(C18/Gastos_Generales_Pesos,0)</f>
        <v>0</v>
      </c>
    </row>
    <row r="19" spans="1:5" ht="20.100000000000001" customHeight="1" x14ac:dyDescent="0.2">
      <c r="A19" s="386"/>
      <c r="B19" s="387"/>
      <c r="C19" s="95"/>
      <c r="D19" s="15">
        <f t="shared" si="0"/>
        <v>0</v>
      </c>
      <c r="E19" s="15">
        <f t="shared" si="1"/>
        <v>0</v>
      </c>
    </row>
    <row r="20" spans="1:5" ht="20.100000000000001" customHeight="1" x14ac:dyDescent="0.2">
      <c r="A20" s="386"/>
      <c r="B20" s="387"/>
      <c r="C20" s="95"/>
      <c r="D20" s="15">
        <f t="shared" ref="D20:D25" si="2">IFERROR(C20/GG_Obra,0)</f>
        <v>0</v>
      </c>
      <c r="E20" s="15">
        <f t="shared" ref="E20:E25" si="3">IFERROR(C20/Gastos_Generales_Pesos,0)</f>
        <v>0</v>
      </c>
    </row>
    <row r="21" spans="1:5" ht="20.100000000000001" customHeight="1" x14ac:dyDescent="0.2">
      <c r="A21" s="386"/>
      <c r="B21" s="387"/>
      <c r="C21" s="95"/>
      <c r="D21" s="15">
        <f t="shared" si="2"/>
        <v>0</v>
      </c>
      <c r="E21" s="15">
        <f t="shared" si="3"/>
        <v>0</v>
      </c>
    </row>
    <row r="22" spans="1:5" ht="20.100000000000001" customHeight="1" x14ac:dyDescent="0.2">
      <c r="A22" s="386"/>
      <c r="B22" s="387"/>
      <c r="C22" s="95"/>
      <c r="D22" s="15">
        <f t="shared" si="2"/>
        <v>0</v>
      </c>
      <c r="E22" s="15">
        <f t="shared" si="3"/>
        <v>0</v>
      </c>
    </row>
    <row r="23" spans="1:5" ht="20.100000000000001" customHeight="1" x14ac:dyDescent="0.2">
      <c r="A23" s="386"/>
      <c r="B23" s="387"/>
      <c r="C23" s="95"/>
      <c r="D23" s="15">
        <f t="shared" si="2"/>
        <v>0</v>
      </c>
      <c r="E23" s="15">
        <f t="shared" si="3"/>
        <v>0</v>
      </c>
    </row>
    <row r="24" spans="1:5" ht="20.100000000000001" customHeight="1" x14ac:dyDescent="0.2">
      <c r="A24" s="386"/>
      <c r="B24" s="387"/>
      <c r="C24" s="95"/>
      <c r="D24" s="15">
        <f t="shared" si="2"/>
        <v>0</v>
      </c>
      <c r="E24" s="15">
        <f t="shared" si="3"/>
        <v>0</v>
      </c>
    </row>
    <row r="25" spans="1:5" ht="20.100000000000001" customHeight="1" x14ac:dyDescent="0.2">
      <c r="A25" s="386"/>
      <c r="B25" s="387"/>
      <c r="C25" s="95"/>
      <c r="D25" s="15">
        <f t="shared" si="2"/>
        <v>0</v>
      </c>
      <c r="E25" s="15">
        <f t="shared" si="3"/>
        <v>0</v>
      </c>
    </row>
    <row r="26" spans="1:5" ht="20.100000000000001" customHeight="1" x14ac:dyDescent="0.2">
      <c r="A26" s="72"/>
      <c r="B26" s="5"/>
      <c r="C26" s="5"/>
      <c r="D26" s="5"/>
      <c r="E26" s="73"/>
    </row>
    <row r="27" spans="1:5" ht="20.100000000000001" customHeight="1" x14ac:dyDescent="0.2">
      <c r="A27" s="384" t="s">
        <v>43</v>
      </c>
      <c r="B27" s="385"/>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4" t="s">
        <v>600</v>
      </c>
      <c r="B39" s="385"/>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PTyCI</vt:lpstr>
      <vt:lpstr>AP</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2023-01-20T16:26:30Z</dcterms:modified>
</cp:coreProperties>
</file>