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4D1C537B-E38A-612A-F078-A93A15B4B7F4}"/>
  <workbookPr codeName="ThisWorkbook" defaultThemeVersion="124226"/>
  <mc:AlternateContent xmlns:mc="http://schemas.openxmlformats.org/markup-compatibility/2006">
    <mc:Choice Requires="x15">
      <x15ac:absPath xmlns:x15ac="http://schemas.microsoft.com/office/spreadsheetml/2010/11/ac" url="D:\Downloads\"/>
    </mc:Choice>
  </mc:AlternateContent>
  <bookViews>
    <workbookView xWindow="0" yWindow="0" windowWidth="17160" windowHeight="7848" tabRatio="833"/>
  </bookViews>
  <sheets>
    <sheet name="Datos" sheetId="15" r:id="rId1"/>
    <sheet name="RGP" sheetId="28" r:id="rId2"/>
    <sheet name="LAN 1" sheetId="18" r:id="rId3"/>
    <sheet name="LAN 2" sheetId="19" r:id="rId4"/>
    <sheet name="LAN 3" sheetId="27" r:id="rId5"/>
    <sheet name="LAN 4" sheetId="29" r:id="rId6"/>
    <sheet name="LAN 5" sheetId="30" r:id="rId7"/>
    <sheet name="LAN 6" sheetId="31" r:id="rId8"/>
    <sheet name="P-G (2 PISO)" sheetId="33" state="hidden" r:id="rId9"/>
    <sheet name="Espacios Comunes Torre" sheetId="34" r:id="rId10"/>
    <sheet name="INFRA" sheetId="22" state="hidden" r:id="rId11"/>
    <sheet name="Espacios Comunes bloque S - O" sheetId="35" r:id="rId12"/>
    <sheet name="CyP" sheetId="2" r:id="rId13"/>
    <sheet name="PTyCI" sheetId="9" r:id="rId14"/>
    <sheet name="AP" sheetId="25" r:id="rId15"/>
    <sheet name="Grafico Avance Obra" sheetId="4" r:id="rId16"/>
    <sheet name="Gráfico Curva Inversiones" sheetId="5" r:id="rId17"/>
    <sheet name="Insumos" sheetId="26" r:id="rId18"/>
    <sheet name="Indices" sheetId="11" state="hidden" r:id="rId19"/>
    <sheet name="Códigos Items" sheetId="12" state="hidden" r:id="rId20"/>
    <sheet name="Gastos Generales" sheetId="8" state="hidden" r:id="rId21"/>
  </sheets>
  <externalReferences>
    <externalReference r:id="rId22"/>
  </externalReferences>
  <definedNames>
    <definedName name="__123Graph_AGRAUDAP" localSheetId="14" hidden="1">[1]P.TRABAJO!#REF!</definedName>
    <definedName name="__123Graph_AGRAUDAP" localSheetId="19" hidden="1">[1]P.TRABAJO!#REF!</definedName>
    <definedName name="__123Graph_AGRAUDAP" localSheetId="0" hidden="1">[1]P.TRABAJO!#REF!</definedName>
    <definedName name="__123Graph_AGRAUDAP" localSheetId="18" hidden="1">[1]P.TRABAJO!#REF!</definedName>
    <definedName name="__123Graph_AGRAUDAP" localSheetId="10" hidden="1">[1]P.TRABAJO!#REF!</definedName>
    <definedName name="__123Graph_AGRAUDAP" localSheetId="17" hidden="1">[1]P.TRABAJO!#REF!</definedName>
    <definedName name="__123Graph_AGRAUDAP" localSheetId="2" hidden="1">[1]P.TRABAJO!#REF!</definedName>
    <definedName name="__123Graph_AGRAUDAP" localSheetId="3" hidden="1">[1]P.TRABAJO!#REF!</definedName>
    <definedName name="__123Graph_AGRAUDAP" localSheetId="4" hidden="1">[1]P.TRABAJO!#REF!</definedName>
    <definedName name="__123Graph_AGRAUDAP" hidden="1">[1]P.TRABAJO!#REF!</definedName>
    <definedName name="__123Graph_LBL_AGRAUDAP" localSheetId="19" hidden="1">[1]P.TRABAJO!#REF!</definedName>
    <definedName name="__123Graph_LBL_AGRAUDAP" localSheetId="0" hidden="1">[1]P.TRABAJO!#REF!</definedName>
    <definedName name="__123Graph_LBL_AGRAUDAP" localSheetId="18" hidden="1">[1]P.TRABAJO!#REF!</definedName>
    <definedName name="__123Graph_LBL_AGRAUDAP" localSheetId="10" hidden="1">[1]P.TRABAJO!#REF!</definedName>
    <definedName name="__123Graph_LBL_AGRAUDAP" localSheetId="17" hidden="1">[1]P.TRABAJO!#REF!</definedName>
    <definedName name="__123Graph_LBL_AGRAUDAP" localSheetId="2" hidden="1">[1]P.TRABAJO!#REF!</definedName>
    <definedName name="__123Graph_LBL_AGRAUDAP" localSheetId="3" hidden="1">[1]P.TRABAJO!#REF!</definedName>
    <definedName name="__123Graph_LBL_AGRAUDAP" localSheetId="4" hidden="1">[1]P.TRABAJO!#REF!</definedName>
    <definedName name="__123Graph_LBL_AGRAUDAP" hidden="1">[1]P.TRABAJO!#REF!</definedName>
    <definedName name="__123Graph_XGRAUDAP" localSheetId="19" hidden="1">[1]P.TRABAJO!#REF!</definedName>
    <definedName name="__123Graph_XGRAUDAP" localSheetId="0" hidden="1">[1]P.TRABAJO!#REF!</definedName>
    <definedName name="__123Graph_XGRAUDAP" localSheetId="18" hidden="1">[1]P.TRABAJO!#REF!</definedName>
    <definedName name="__123Graph_XGRAUDAP" localSheetId="10" hidden="1">[1]P.TRABAJO!#REF!</definedName>
    <definedName name="__123Graph_XGRAUDAP" localSheetId="17" hidden="1">[1]P.TRABAJO!#REF!</definedName>
    <definedName name="__123Graph_XGRAUDAP" localSheetId="2" hidden="1">[1]P.TRABAJO!#REF!</definedName>
    <definedName name="__123Graph_XGRAUDAP" localSheetId="3" hidden="1">[1]P.TRABAJO!#REF!</definedName>
    <definedName name="__123Graph_XGRAUDAP" localSheetId="4" hidden="1">[1]P.TRABAJO!#REF!</definedName>
    <definedName name="__123Graph_XGRAUDAP" hidden="1">[1]P.TRABAJO!#REF!</definedName>
    <definedName name="_xlnm._FilterDatabase" localSheetId="12" hidden="1">CyP!$A$1:$A$187</definedName>
    <definedName name="_xlnm._FilterDatabase" localSheetId="0" hidden="1">Datos!#REF!</definedName>
    <definedName name="_xlnm._FilterDatabase" localSheetId="18" hidden="1">Indices!$B$1:$D$969</definedName>
    <definedName name="_xlnm._FilterDatabase" localSheetId="10" hidden="1">INFRA!$A$2:$A$44</definedName>
    <definedName name="_xlnm._FilterDatabase" localSheetId="17" hidden="1">Insumos!#REF!</definedName>
    <definedName name="_xlnm._FilterDatabase" localSheetId="2" hidden="1">'LAN 1'!$A$2:$A$126</definedName>
    <definedName name="_xlnm._FilterDatabase" localSheetId="3" hidden="1">'LAN 2'!$A$2:$A$117</definedName>
    <definedName name="_xlnm._FilterDatabase" localSheetId="4" hidden="1">'LAN 3'!$A$2:$A$117</definedName>
    <definedName name="_xlnm._FilterDatabase" localSheetId="13" hidden="1">PTyCI!$D$1:$D$166</definedName>
    <definedName name="Anticipo_Financiero">Datos!$C$7</definedName>
    <definedName name="_xlnm.Print_Area" localSheetId="14">AP!$A$1:$G$49</definedName>
    <definedName name="_xlnm.Print_Area" localSheetId="12">CyP!$A$1:$I$191</definedName>
    <definedName name="_xlnm.Print_Area" localSheetId="17">Insumos!#REF!</definedName>
    <definedName name="_xlnm.Print_Area" localSheetId="2">'LAN 1'!$A$1:$F$126</definedName>
    <definedName name="_xlnm.Print_Area" localSheetId="3">'LAN 2'!$A$1:$F$126</definedName>
    <definedName name="_xlnm.Print_Area" localSheetId="5">'LAN 4'!$A$1:$F$126</definedName>
    <definedName name="_xlnm.Print_Area" localSheetId="6">'LAN 5'!$A$1:$F$126</definedName>
    <definedName name="_xlnm.Print_Area" localSheetId="13">PTyCI!$A$1:$W$165</definedName>
    <definedName name="_xlnm.Print_Area" localSheetId="1">RGP!$A$1:$H$104</definedName>
    <definedName name="Beneficio">Datos!$C$15</definedName>
    <definedName name="Cant_Viv_P1">'LAN 1'!$B$5</definedName>
    <definedName name="Cant_Viv_P2">'LAN 2'!$B$5</definedName>
    <definedName name="Cant_Viv_P3">'LAN 3'!$B$5</definedName>
    <definedName name="Cant_Viv_P4">'LAN 4'!$B$5</definedName>
    <definedName name="Cant_Viv_P5">'LAN 5'!$B$5</definedName>
    <definedName name="Cant_Viv_P6">'LAN 6'!$B$5</definedName>
    <definedName name="Cant_Viv_P7">'P-G (2 PISO)'!$B$5</definedName>
    <definedName name="Coef_Paso_Infraestructura">Datos!$C$20</definedName>
    <definedName name="Coef_Paso_Vivienda">Datos!$C$19</definedName>
    <definedName name="Comitente">Datos!$C$1</definedName>
    <definedName name="Contratista">Datos!$C$12</definedName>
    <definedName name="Costo_Financiero">Datos!$C$13</definedName>
    <definedName name="ESPACIO_COMUN">'Espacios Comunes Torre'!$B$4</definedName>
    <definedName name="ESPACIO_COMUN_ALAS">'Espacios Comunes bloque S - O'!$B$4</definedName>
    <definedName name="EspacioComun">'Espacios Comunes Torre'!$B$5</definedName>
    <definedName name="EspacioComun_Alas">'Espacios Comunes bloque S - O'!$B$5</definedName>
    <definedName name="Fecha_Apertura">Datos!$C$8</definedName>
    <definedName name="Fecha_Base">Datos!$C$10</definedName>
    <definedName name="Gastos_Generales">Datos!$C$14</definedName>
    <definedName name="Ingresos_Brutos">Datos!$C$16</definedName>
    <definedName name="IVA_Infraestructura">Datos!$C$18</definedName>
    <definedName name="IVA_Vivienda">Datos!$C$17</definedName>
    <definedName name="Monto_Oferta">CyP!$H$185</definedName>
    <definedName name="Monto_Terreno">Datos!$C$21</definedName>
    <definedName name="Número_Expediente">Datos!$C$5</definedName>
    <definedName name="Número_Licitación">Datos!$C$4</definedName>
    <definedName name="Obra">Datos!$C$2</definedName>
    <definedName name="Plazo_Obra">Datos!$C$9</definedName>
    <definedName name="Precio_Infra">INFRA!$F$62</definedName>
    <definedName name="Precio_P1">'LAN 1'!$F$126</definedName>
    <definedName name="Precio_P2">'LAN 2'!$F$126</definedName>
    <definedName name="Precio_P3">'LAN 3'!$F$126</definedName>
    <definedName name="PRECIO_P4">'LAN 4'!$F$126</definedName>
    <definedName name="PRECIO_P5">'LAN 5'!$F$126</definedName>
    <definedName name="PRECIO_P6">'LAN 6'!$F$126</definedName>
    <definedName name="PRECIO_P7">'P-G (2 PISO)'!$F$59</definedName>
    <definedName name="Presupuesto_Oficial">Datos!$C$6</definedName>
    <definedName name="Tabla_AP">AP!$A:$G</definedName>
    <definedName name="Tabla_Código_Items">'Códigos Items'!$A:$D</definedName>
    <definedName name="Tabla_Comp_Presup">CyP!$A:$I</definedName>
    <definedName name="Tabla_CyP">CyP!$A:$I</definedName>
    <definedName name="Tabla_Datos">Datos!$B:$D</definedName>
    <definedName name="Tabla_EC" localSheetId="11">'Espacios Comunes bloque S - O'!$A$1:$F$62</definedName>
    <definedName name="Tabla_EC">'Espacios Comunes Torre'!$A$1:$F$61</definedName>
    <definedName name="Tabla_EC2">'Espacios Comunes bloque S - O'!$A$1:$F$61</definedName>
    <definedName name="Tabla_Indices">Indices!$A:$E</definedName>
    <definedName name="Tabla_Infraestructura">INFRA!$A:$D</definedName>
    <definedName name="Tabla_Insumos">Insumos!$A:$E</definedName>
    <definedName name="Tabla_NumeroItem">Datos!$A$35:$D$189</definedName>
    <definedName name="Tabla_P1">'LAN 1'!$A:$D</definedName>
    <definedName name="Tabla_P2">'LAN 2'!$A:$D</definedName>
    <definedName name="Tabla_P3">'LAN 3'!$A$1:$F$258</definedName>
    <definedName name="Tabla_P4">'LAN 4'!$A$1:$F$424</definedName>
    <definedName name="Tabla_P5">'LAN 5'!$A$1:$F$181</definedName>
    <definedName name="Tabla_P6">'LAN 6'!$A$1:$F$439</definedName>
    <definedName name="Tabla_P7">'P-G (2 PISO)'!$A$1:$F$308</definedName>
    <definedName name="Tipo_P1">'LAN 1'!$B$4</definedName>
    <definedName name="Tipo_P2">'LAN 2'!$B$4</definedName>
    <definedName name="Tipo_P3">'LAN 3'!$B$4</definedName>
    <definedName name="Tipo_P4">'LAN 4'!$B$4</definedName>
    <definedName name="Tipo_P5">'LAN 5'!$B$4</definedName>
    <definedName name="Tipo_P6">'LAN 6'!$B$4</definedName>
    <definedName name="Tipo_P7">'P-G (2 PISO)'!$B$4</definedName>
    <definedName name="_xlnm.Print_Titles" localSheetId="18">Indices!$2:$5</definedName>
    <definedName name="Ubicación">Datos!$C$3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28" l="1"/>
  <c r="A54" i="28"/>
  <c r="E178" i="2" l="1"/>
  <c r="B4" i="28"/>
  <c r="A23" i="2"/>
  <c r="A22" i="2"/>
  <c r="A19" i="2"/>
  <c r="C114" i="15" l="1"/>
  <c r="A95" i="9"/>
  <c r="X95" i="9"/>
  <c r="A107" i="2" l="1"/>
  <c r="B107" i="2" s="1"/>
  <c r="B89" i="31" l="1"/>
  <c r="B89" i="30"/>
  <c r="B89" i="29"/>
  <c r="B89" i="27"/>
  <c r="B89" i="19"/>
  <c r="B89" i="18"/>
  <c r="D114" i="15"/>
  <c r="D107" i="2" s="1"/>
  <c r="B181" i="2"/>
  <c r="F49" i="28"/>
  <c r="F48" i="28"/>
  <c r="F44" i="28"/>
  <c r="F41" i="28"/>
  <c r="B32" i="28"/>
  <c r="B30" i="28"/>
  <c r="B26" i="28"/>
  <c r="B24" i="28"/>
  <c r="B22" i="28"/>
  <c r="B20" i="28"/>
  <c r="B18" i="28"/>
  <c r="B16" i="28"/>
  <c r="C89" i="18" l="1"/>
  <c r="C89" i="27"/>
  <c r="C89" i="19"/>
  <c r="C89" i="31"/>
  <c r="C89" i="30"/>
  <c r="C89" i="29"/>
  <c r="X159" i="9" l="1"/>
  <c r="D23" i="2"/>
  <c r="D22" i="2"/>
  <c r="A16" i="2"/>
  <c r="A171" i="2"/>
  <c r="C156" i="15"/>
  <c r="D156" i="15"/>
  <c r="X18" i="9"/>
  <c r="X19" i="9"/>
  <c r="X20" i="9"/>
  <c r="X21" i="9"/>
  <c r="X22" i="9"/>
  <c r="X23" i="9"/>
  <c r="X24" i="9"/>
  <c r="X25" i="9"/>
  <c r="X26" i="9"/>
  <c r="X27" i="9"/>
  <c r="X28" i="9"/>
  <c r="X29" i="9"/>
  <c r="X30" i="9"/>
  <c r="X31" i="9"/>
  <c r="X32" i="9"/>
  <c r="X33" i="9"/>
  <c r="X34" i="9"/>
  <c r="X35" i="9"/>
  <c r="X36" i="9"/>
  <c r="X37" i="9"/>
  <c r="X38" i="9"/>
  <c r="X39" i="9"/>
  <c r="X40" i="9"/>
  <c r="X41" i="9"/>
  <c r="X42" i="9"/>
  <c r="X43" i="9"/>
  <c r="X44" i="9"/>
  <c r="X45" i="9"/>
  <c r="X46" i="9"/>
  <c r="X47" i="9"/>
  <c r="X48" i="9"/>
  <c r="X49" i="9"/>
  <c r="X50" i="9"/>
  <c r="X51" i="9"/>
  <c r="X52" i="9"/>
  <c r="X53" i="9"/>
  <c r="X54" i="9"/>
  <c r="X55" i="9"/>
  <c r="X56" i="9"/>
  <c r="X57" i="9"/>
  <c r="X58" i="9"/>
  <c r="X59" i="9"/>
  <c r="X60" i="9"/>
  <c r="X61" i="9"/>
  <c r="X62" i="9"/>
  <c r="X63" i="9"/>
  <c r="X64" i="9"/>
  <c r="X65" i="9"/>
  <c r="X66" i="9"/>
  <c r="X67" i="9"/>
  <c r="X68" i="9"/>
  <c r="X69" i="9"/>
  <c r="X70" i="9"/>
  <c r="X71" i="9"/>
  <c r="X72" i="9"/>
  <c r="X73" i="9"/>
  <c r="X74" i="9"/>
  <c r="X75" i="9"/>
  <c r="X76" i="9"/>
  <c r="X77" i="9"/>
  <c r="X78" i="9"/>
  <c r="X79" i="9"/>
  <c r="X80" i="9"/>
  <c r="X81" i="9"/>
  <c r="X82" i="9"/>
  <c r="X83" i="9"/>
  <c r="X84" i="9"/>
  <c r="X85" i="9"/>
  <c r="X86" i="9"/>
  <c r="X87" i="9"/>
  <c r="X88" i="9"/>
  <c r="X89" i="9"/>
  <c r="X90" i="9"/>
  <c r="X91" i="9"/>
  <c r="X92" i="9"/>
  <c r="X93" i="9"/>
  <c r="X94" i="9"/>
  <c r="X96" i="9"/>
  <c r="X97" i="9"/>
  <c r="X98" i="9"/>
  <c r="X99" i="9"/>
  <c r="X100" i="9"/>
  <c r="X101" i="9"/>
  <c r="X102" i="9"/>
  <c r="X103" i="9"/>
  <c r="X104" i="9"/>
  <c r="X105" i="9"/>
  <c r="X106" i="9"/>
  <c r="X107" i="9"/>
  <c r="X108" i="9"/>
  <c r="X109" i="9"/>
  <c r="X110" i="9"/>
  <c r="X111" i="9"/>
  <c r="X112" i="9"/>
  <c r="X113" i="9"/>
  <c r="X114" i="9"/>
  <c r="X115" i="9"/>
  <c r="X116" i="9"/>
  <c r="X117" i="9"/>
  <c r="X118" i="9"/>
  <c r="X119" i="9"/>
  <c r="X120" i="9"/>
  <c r="X121" i="9"/>
  <c r="X122" i="9"/>
  <c r="X123" i="9"/>
  <c r="X124" i="9"/>
  <c r="X125" i="9"/>
  <c r="X126" i="9"/>
  <c r="X127" i="9"/>
  <c r="X128" i="9"/>
  <c r="X129" i="9"/>
  <c r="X130" i="9"/>
  <c r="X131" i="9"/>
  <c r="X132" i="9"/>
  <c r="X133" i="9"/>
  <c r="X134" i="9"/>
  <c r="X135" i="9"/>
  <c r="X136" i="9"/>
  <c r="X137" i="9"/>
  <c r="X138" i="9"/>
  <c r="X139" i="9"/>
  <c r="X140" i="9"/>
  <c r="X141" i="9"/>
  <c r="X142" i="9"/>
  <c r="X143" i="9"/>
  <c r="X144" i="9"/>
  <c r="X145" i="9"/>
  <c r="X146" i="9"/>
  <c r="X147" i="9"/>
  <c r="X148" i="9"/>
  <c r="X149" i="9"/>
  <c r="X150" i="9"/>
  <c r="X151" i="9"/>
  <c r="X152" i="9"/>
  <c r="X153" i="9"/>
  <c r="X154" i="9"/>
  <c r="X155" i="9"/>
  <c r="X156" i="9"/>
  <c r="X157" i="9"/>
  <c r="X158" i="9"/>
  <c r="G23" i="2" l="1"/>
  <c r="A128" i="9" l="1"/>
  <c r="A127" i="9"/>
  <c r="A126" i="9"/>
  <c r="A119" i="9"/>
  <c r="A31" i="9"/>
  <c r="A32" i="9"/>
  <c r="A33" i="9"/>
  <c r="A34" i="9"/>
  <c r="A35" i="9"/>
  <c r="A36" i="9"/>
  <c r="A37" i="9"/>
  <c r="A30" i="9"/>
  <c r="A131" i="2" l="1"/>
  <c r="C138" i="15"/>
  <c r="B113" i="30" s="1"/>
  <c r="D138" i="15"/>
  <c r="C113" i="30" s="1"/>
  <c r="C113" i="19" l="1"/>
  <c r="B113" i="19"/>
  <c r="D131" i="2"/>
  <c r="C113" i="27"/>
  <c r="C113" i="31"/>
  <c r="B113" i="27"/>
  <c r="B113" i="31"/>
  <c r="C113" i="29"/>
  <c r="C113" i="18"/>
  <c r="B113" i="29"/>
  <c r="B113" i="18"/>
  <c r="B131" i="2"/>
  <c r="A42" i="2" l="1"/>
  <c r="A43" i="2"/>
  <c r="A44" i="2"/>
  <c r="A45" i="2"/>
  <c r="A46" i="2"/>
  <c r="A47" i="2"/>
  <c r="A48" i="2"/>
  <c r="A49" i="2"/>
  <c r="C49" i="15"/>
  <c r="D49" i="15"/>
  <c r="B42" i="2" l="1"/>
  <c r="D42" i="2"/>
  <c r="B24" i="31" l="1"/>
  <c r="B24" i="27"/>
  <c r="B24" i="19"/>
  <c r="C50" i="15"/>
  <c r="B25" i="19" s="1"/>
  <c r="D50" i="15"/>
  <c r="C25" i="18" s="1"/>
  <c r="C51" i="15"/>
  <c r="D51" i="15"/>
  <c r="C52" i="15"/>
  <c r="B27" i="29" s="1"/>
  <c r="D52" i="15"/>
  <c r="C53" i="15"/>
  <c r="D53" i="15"/>
  <c r="C54" i="15"/>
  <c r="B29" i="19" s="1"/>
  <c r="D54" i="15"/>
  <c r="C29" i="18" s="1"/>
  <c r="C55" i="15"/>
  <c r="D55" i="15"/>
  <c r="C30" i="18" s="1"/>
  <c r="C56" i="15"/>
  <c r="D56" i="15"/>
  <c r="C24" i="18"/>
  <c r="C28" i="18"/>
  <c r="B25" i="31" l="1"/>
  <c r="B27" i="31"/>
  <c r="B29" i="31"/>
  <c r="C25" i="30"/>
  <c r="D44" i="2"/>
  <c r="B25" i="27"/>
  <c r="B44" i="2"/>
  <c r="C27" i="18"/>
  <c r="D46" i="2"/>
  <c r="B27" i="30"/>
  <c r="B46" i="2"/>
  <c r="B26" i="27"/>
  <c r="B45" i="2"/>
  <c r="B28" i="19"/>
  <c r="C30" i="29"/>
  <c r="C31" i="31"/>
  <c r="C31" i="19"/>
  <c r="C31" i="30"/>
  <c r="C31" i="18"/>
  <c r="C31" i="29"/>
  <c r="C31" i="27"/>
  <c r="D49" i="2"/>
  <c r="C26" i="29"/>
  <c r="D45" i="2"/>
  <c r="B27" i="19"/>
  <c r="B28" i="31"/>
  <c r="B30" i="31"/>
  <c r="B31" i="30"/>
  <c r="B31" i="18"/>
  <c r="B31" i="29"/>
  <c r="B31" i="27"/>
  <c r="B31" i="31"/>
  <c r="B31" i="19"/>
  <c r="B49" i="2"/>
  <c r="B28" i="27"/>
  <c r="B27" i="18"/>
  <c r="C28" i="31"/>
  <c r="D47" i="2"/>
  <c r="C24" i="31"/>
  <c r="D43" i="2"/>
  <c r="B27" i="27"/>
  <c r="C29" i="30"/>
  <c r="D48" i="2"/>
  <c r="B29" i="18"/>
  <c r="B48" i="2"/>
  <c r="C26" i="18"/>
  <c r="B28" i="18"/>
  <c r="B47" i="2"/>
  <c r="B24" i="30"/>
  <c r="B43" i="2"/>
  <c r="B26" i="30"/>
  <c r="B26" i="18"/>
  <c r="B30" i="18"/>
  <c r="C27" i="19"/>
  <c r="C30" i="27"/>
  <c r="C26" i="27"/>
  <c r="C29" i="29"/>
  <c r="C25" i="29"/>
  <c r="C28" i="30"/>
  <c r="C24" i="30"/>
  <c r="C27" i="31"/>
  <c r="B30" i="29"/>
  <c r="B29" i="30"/>
  <c r="B25" i="18"/>
  <c r="B30" i="27"/>
  <c r="B29" i="29"/>
  <c r="C30" i="19"/>
  <c r="C26" i="19"/>
  <c r="C29" i="27"/>
  <c r="C25" i="27"/>
  <c r="C28" i="29"/>
  <c r="C24" i="29"/>
  <c r="C27" i="30"/>
  <c r="C30" i="31"/>
  <c r="C26" i="31"/>
  <c r="B30" i="30"/>
  <c r="B25" i="30"/>
  <c r="B25" i="29"/>
  <c r="B24" i="18"/>
  <c r="B30" i="19"/>
  <c r="B26" i="19"/>
  <c r="B29" i="27"/>
  <c r="B28" i="29"/>
  <c r="B24" i="29"/>
  <c r="B26" i="31"/>
  <c r="B26" i="29"/>
  <c r="B28" i="30"/>
  <c r="C29" i="19"/>
  <c r="C25" i="19"/>
  <c r="C28" i="27"/>
  <c r="C24" i="27"/>
  <c r="C27" i="29"/>
  <c r="C30" i="30"/>
  <c r="C26" i="30"/>
  <c r="C29" i="31"/>
  <c r="C25" i="31"/>
  <c r="C28" i="19"/>
  <c r="C24" i="19"/>
  <c r="C27" i="27"/>
  <c r="A158" i="9"/>
  <c r="A154" i="9"/>
  <c r="A155" i="9"/>
  <c r="A156" i="9"/>
  <c r="A157" i="9"/>
  <c r="A134" i="9"/>
  <c r="A135" i="9"/>
  <c r="A136" i="9"/>
  <c r="A137" i="9"/>
  <c r="A138" i="9"/>
  <c r="A139" i="9"/>
  <c r="A140" i="9"/>
  <c r="A141" i="9"/>
  <c r="A142" i="9"/>
  <c r="A143" i="9"/>
  <c r="A144" i="9"/>
  <c r="A145" i="9"/>
  <c r="A146" i="9"/>
  <c r="A147" i="9"/>
  <c r="A148" i="9"/>
  <c r="A149" i="9"/>
  <c r="A150" i="9"/>
  <c r="A151" i="9"/>
  <c r="A152" i="9"/>
  <c r="A153" i="9"/>
  <c r="A160" i="2"/>
  <c r="C168" i="15"/>
  <c r="B37" i="35" s="1"/>
  <c r="D168" i="15"/>
  <c r="C37" i="35" s="1"/>
  <c r="C37" i="34" l="1"/>
  <c r="B37" i="34"/>
  <c r="B160" i="2"/>
  <c r="D160" i="2"/>
  <c r="A134" i="2" l="1"/>
  <c r="B134" i="2" s="1"/>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1" i="2"/>
  <c r="A162" i="2"/>
  <c r="A163" i="2"/>
  <c r="A164" i="2"/>
  <c r="A165" i="2"/>
  <c r="A166" i="2"/>
  <c r="A167" i="2"/>
  <c r="A168" i="2"/>
  <c r="A169" i="2"/>
  <c r="A170" i="2"/>
  <c r="C147" i="15"/>
  <c r="D147" i="15"/>
  <c r="C145" i="15"/>
  <c r="D145" i="15"/>
  <c r="C146" i="15"/>
  <c r="D146" i="15"/>
  <c r="C148" i="15"/>
  <c r="D148" i="15"/>
  <c r="C149" i="15"/>
  <c r="D149" i="15"/>
  <c r="C150" i="15"/>
  <c r="D150" i="15"/>
  <c r="C151" i="15"/>
  <c r="D151" i="15"/>
  <c r="C152" i="15"/>
  <c r="D152" i="15"/>
  <c r="C153" i="15"/>
  <c r="D153" i="15"/>
  <c r="C154" i="15"/>
  <c r="D154" i="15"/>
  <c r="C155" i="15"/>
  <c r="D155" i="15"/>
  <c r="C157" i="15"/>
  <c r="D157" i="15"/>
  <c r="C158" i="15"/>
  <c r="D158" i="15"/>
  <c r="C159" i="15"/>
  <c r="D159" i="15"/>
  <c r="C160" i="15"/>
  <c r="D160" i="15"/>
  <c r="C161" i="15"/>
  <c r="D161" i="15"/>
  <c r="C162" i="15"/>
  <c r="D162" i="15"/>
  <c r="C163" i="15"/>
  <c r="D163" i="15"/>
  <c r="C164" i="15"/>
  <c r="D164" i="15"/>
  <c r="C165" i="15"/>
  <c r="D165" i="15"/>
  <c r="C166" i="15"/>
  <c r="D166" i="15"/>
  <c r="C167" i="15"/>
  <c r="D167" i="15"/>
  <c r="C169" i="15"/>
  <c r="D169" i="15"/>
  <c r="C170" i="15"/>
  <c r="D170" i="15"/>
  <c r="C171" i="15"/>
  <c r="D171" i="15"/>
  <c r="C172" i="15"/>
  <c r="D172" i="15"/>
  <c r="C173" i="15"/>
  <c r="D173" i="15"/>
  <c r="C174" i="15"/>
  <c r="D174" i="15"/>
  <c r="C175" i="15"/>
  <c r="D175" i="15"/>
  <c r="C176" i="15"/>
  <c r="D176" i="15"/>
  <c r="C177" i="15"/>
  <c r="D177" i="15"/>
  <c r="C178" i="15"/>
  <c r="D178" i="15"/>
  <c r="C179" i="15"/>
  <c r="D179" i="15"/>
  <c r="C180" i="15"/>
  <c r="D180" i="15"/>
  <c r="C181" i="15"/>
  <c r="D181" i="15"/>
  <c r="C182" i="15"/>
  <c r="D182" i="15"/>
  <c r="C183" i="15"/>
  <c r="D183" i="15"/>
  <c r="B59" i="35"/>
  <c r="C57" i="35"/>
  <c r="B57" i="35"/>
  <c r="C56" i="35"/>
  <c r="B56" i="35"/>
  <c r="C54" i="35"/>
  <c r="B54" i="35"/>
  <c r="C53" i="35"/>
  <c r="B53" i="35"/>
  <c r="E51" i="35"/>
  <c r="C51" i="35"/>
  <c r="B51" i="35"/>
  <c r="B10" i="35"/>
  <c r="B3" i="35"/>
  <c r="B2" i="35"/>
  <c r="C25" i="35" l="1"/>
  <c r="C26" i="35"/>
  <c r="C26" i="34"/>
  <c r="B25" i="35"/>
  <c r="B26" i="34"/>
  <c r="B26" i="35"/>
  <c r="B48" i="35"/>
  <c r="B171" i="2"/>
  <c r="C48" i="35"/>
  <c r="D171" i="2"/>
  <c r="C25" i="34"/>
  <c r="B25" i="34"/>
  <c r="B159" i="2"/>
  <c r="B148" i="2"/>
  <c r="B163" i="2"/>
  <c r="B154" i="2"/>
  <c r="B147" i="2"/>
  <c r="B139" i="2"/>
  <c r="B151" i="2"/>
  <c r="B155" i="2"/>
  <c r="B170" i="2"/>
  <c r="B138" i="2"/>
  <c r="B140" i="2"/>
  <c r="B162" i="2"/>
  <c r="B153" i="2"/>
  <c r="B146" i="2"/>
  <c r="B169" i="2"/>
  <c r="B161" i="2"/>
  <c r="B152" i="2"/>
  <c r="B145" i="2"/>
  <c r="B168" i="2"/>
  <c r="B167" i="2"/>
  <c r="B158" i="2"/>
  <c r="B150" i="2"/>
  <c r="B143" i="2"/>
  <c r="B166" i="2"/>
  <c r="B157" i="2"/>
  <c r="B142" i="2"/>
  <c r="B165" i="2"/>
  <c r="B156" i="2"/>
  <c r="B149" i="2"/>
  <c r="B141" i="2"/>
  <c r="B144" i="2"/>
  <c r="B164" i="2"/>
  <c r="D170" i="2"/>
  <c r="D169" i="2"/>
  <c r="D168" i="2"/>
  <c r="D166" i="2"/>
  <c r="D165" i="2"/>
  <c r="D164" i="2"/>
  <c r="D163" i="2"/>
  <c r="D162" i="2"/>
  <c r="D159" i="2"/>
  <c r="D158" i="2"/>
  <c r="D157" i="2"/>
  <c r="D156" i="2"/>
  <c r="D155" i="2"/>
  <c r="D154" i="2"/>
  <c r="D153" i="2"/>
  <c r="D152" i="2"/>
  <c r="D151" i="2"/>
  <c r="D149" i="2"/>
  <c r="D148" i="2"/>
  <c r="D147" i="2"/>
  <c r="D146" i="2"/>
  <c r="D145" i="2"/>
  <c r="D144" i="2"/>
  <c r="D143" i="2"/>
  <c r="D142" i="2"/>
  <c r="D141" i="2"/>
  <c r="D140" i="2"/>
  <c r="D139" i="2"/>
  <c r="D138" i="2"/>
  <c r="A122" i="9"/>
  <c r="A123" i="9"/>
  <c r="A124" i="9"/>
  <c r="A125" i="9"/>
  <c r="A129" i="9"/>
  <c r="A130" i="9"/>
  <c r="A131" i="9"/>
  <c r="A132" i="9"/>
  <c r="A133" i="9"/>
  <c r="A108" i="9"/>
  <c r="A109" i="9"/>
  <c r="A110" i="9"/>
  <c r="A111" i="9"/>
  <c r="A112" i="9"/>
  <c r="A113" i="9"/>
  <c r="A114" i="9"/>
  <c r="A115" i="9"/>
  <c r="A116" i="9"/>
  <c r="A117" i="9"/>
  <c r="A118" i="9"/>
  <c r="A120" i="9"/>
  <c r="A121" i="9"/>
  <c r="A97" i="9"/>
  <c r="A98" i="9"/>
  <c r="A99" i="9"/>
  <c r="A100" i="9"/>
  <c r="A101" i="9"/>
  <c r="A102" i="9"/>
  <c r="A103" i="9"/>
  <c r="A104" i="9"/>
  <c r="A105" i="9"/>
  <c r="A106" i="9"/>
  <c r="A107" i="9"/>
  <c r="A93" i="9"/>
  <c r="A94" i="9"/>
  <c r="A96" i="9"/>
  <c r="A85" i="9"/>
  <c r="A86" i="9"/>
  <c r="A87" i="9"/>
  <c r="A88" i="9"/>
  <c r="A89" i="9"/>
  <c r="A90" i="9"/>
  <c r="A91" i="9"/>
  <c r="A92" i="9"/>
  <c r="A73" i="9"/>
  <c r="A74" i="9"/>
  <c r="A75" i="9"/>
  <c r="A76" i="9"/>
  <c r="A77" i="9"/>
  <c r="A78" i="9"/>
  <c r="A79" i="9"/>
  <c r="A80" i="9"/>
  <c r="A81" i="9"/>
  <c r="A82" i="9"/>
  <c r="A83" i="9"/>
  <c r="A84" i="9"/>
  <c r="A59" i="9"/>
  <c r="A60" i="9"/>
  <c r="A61" i="9"/>
  <c r="A62" i="9"/>
  <c r="A63" i="9"/>
  <c r="A64" i="9"/>
  <c r="A65" i="9"/>
  <c r="A66" i="9"/>
  <c r="A67" i="9"/>
  <c r="A68" i="9"/>
  <c r="A69" i="9"/>
  <c r="A70" i="9"/>
  <c r="A71" i="9"/>
  <c r="A72" i="9"/>
  <c r="A123" i="2"/>
  <c r="A124" i="2"/>
  <c r="A125" i="2"/>
  <c r="A126" i="2"/>
  <c r="A127" i="2"/>
  <c r="A128" i="2"/>
  <c r="A129" i="2"/>
  <c r="A130" i="2"/>
  <c r="A132" i="2"/>
  <c r="A133" i="2"/>
  <c r="A98" i="2"/>
  <c r="A99" i="2"/>
  <c r="A100" i="2"/>
  <c r="A101" i="2"/>
  <c r="A102" i="2"/>
  <c r="A103" i="2"/>
  <c r="A104" i="2"/>
  <c r="A105" i="2"/>
  <c r="A106" i="2"/>
  <c r="A108" i="2"/>
  <c r="A109" i="2"/>
  <c r="A110" i="2"/>
  <c r="A111" i="2"/>
  <c r="A112" i="2"/>
  <c r="A113" i="2"/>
  <c r="A114" i="2"/>
  <c r="A115" i="2"/>
  <c r="A116" i="2"/>
  <c r="A117" i="2"/>
  <c r="A118" i="2"/>
  <c r="A119" i="2"/>
  <c r="A120" i="2"/>
  <c r="A121" i="2"/>
  <c r="A122" i="2"/>
  <c r="A93" i="2"/>
  <c r="A94" i="2"/>
  <c r="A95" i="2"/>
  <c r="A96" i="2"/>
  <c r="A97" i="2"/>
  <c r="A83" i="2"/>
  <c r="A84" i="2"/>
  <c r="A85" i="2"/>
  <c r="A86" i="2"/>
  <c r="A87" i="2"/>
  <c r="A88" i="2"/>
  <c r="A89" i="2"/>
  <c r="A90" i="2"/>
  <c r="A91" i="2"/>
  <c r="A92" i="2"/>
  <c r="A72" i="2"/>
  <c r="A73" i="2"/>
  <c r="A74" i="2"/>
  <c r="A75" i="2"/>
  <c r="A76" i="2"/>
  <c r="A77" i="2"/>
  <c r="A78" i="2"/>
  <c r="A79" i="2"/>
  <c r="A80" i="2"/>
  <c r="A81" i="2"/>
  <c r="A82" i="2"/>
  <c r="C9" i="15"/>
  <c r="C46" i="15" l="1"/>
  <c r="B21" i="19" l="1"/>
  <c r="B21" i="18"/>
  <c r="B21" i="30"/>
  <c r="G22" i="2" l="1"/>
  <c r="D21" i="2"/>
  <c r="D20" i="2"/>
  <c r="D19" i="2"/>
  <c r="A21" i="2"/>
  <c r="A20" i="2"/>
  <c r="G21" i="2" l="1"/>
  <c r="G20" i="2"/>
  <c r="G19" i="2"/>
  <c r="B2" i="25"/>
  <c r="B3" i="25"/>
  <c r="B4" i="25"/>
  <c r="G4" i="25"/>
  <c r="B5" i="25"/>
  <c r="A12" i="25"/>
  <c r="B12" i="25"/>
  <c r="D12" i="25"/>
  <c r="A13" i="25"/>
  <c r="B13" i="25"/>
  <c r="D13" i="25"/>
  <c r="A14" i="25"/>
  <c r="B14" i="25"/>
  <c r="D14" i="25"/>
  <c r="A15" i="25"/>
  <c r="B15" i="25"/>
  <c r="D15" i="25"/>
  <c r="A16" i="25"/>
  <c r="B16" i="25"/>
  <c r="D16" i="25"/>
  <c r="F16" i="25"/>
  <c r="G16" i="25" s="1"/>
  <c r="A17" i="25"/>
  <c r="B17" i="25"/>
  <c r="D17" i="25"/>
  <c r="F17" i="25"/>
  <c r="G17" i="25" s="1"/>
  <c r="A18" i="25"/>
  <c r="B18" i="25"/>
  <c r="D18" i="25"/>
  <c r="F18" i="25"/>
  <c r="G18" i="25" s="1"/>
  <c r="A19" i="25"/>
  <c r="B19" i="25"/>
  <c r="D19" i="25"/>
  <c r="F19" i="25"/>
  <c r="G19" i="25" s="1"/>
  <c r="A20" i="25"/>
  <c r="B20" i="25"/>
  <c r="D20" i="25"/>
  <c r="F20" i="25"/>
  <c r="G20" i="25" s="1"/>
  <c r="A21" i="25"/>
  <c r="B21" i="25"/>
  <c r="D21" i="25"/>
  <c r="F21" i="25"/>
  <c r="G21" i="25" s="1"/>
  <c r="A22" i="25"/>
  <c r="B22" i="25"/>
  <c r="D22" i="25"/>
  <c r="F22" i="25"/>
  <c r="G22" i="25" s="1"/>
  <c r="A23" i="25"/>
  <c r="B23" i="25"/>
  <c r="D23" i="25"/>
  <c r="F23" i="25"/>
  <c r="G23" i="25" s="1"/>
  <c r="A24" i="25"/>
  <c r="B24" i="25"/>
  <c r="D24" i="25"/>
  <c r="F24" i="25"/>
  <c r="G24" i="25" s="1"/>
  <c r="A25" i="25"/>
  <c r="B25" i="25"/>
  <c r="D25" i="25"/>
  <c r="F25" i="25"/>
  <c r="G25" i="25" s="1"/>
  <c r="A28" i="25"/>
  <c r="D28" i="25"/>
  <c r="A29" i="25"/>
  <c r="D29" i="25"/>
  <c r="A30" i="25"/>
  <c r="B30" i="25"/>
  <c r="D30" i="25"/>
  <c r="F30" i="25"/>
  <c r="G30" i="25" s="1"/>
  <c r="A31" i="25"/>
  <c r="B31" i="25"/>
  <c r="D31" i="25"/>
  <c r="F31" i="25"/>
  <c r="G31" i="25" s="1"/>
  <c r="A32" i="25"/>
  <c r="B32" i="25"/>
  <c r="D32" i="25"/>
  <c r="F32" i="25"/>
  <c r="G32" i="25" s="1"/>
  <c r="A33" i="25"/>
  <c r="B33" i="25"/>
  <c r="D33" i="25"/>
  <c r="F33" i="25"/>
  <c r="G33" i="25" s="1"/>
  <c r="A34" i="25"/>
  <c r="B34" i="25"/>
  <c r="D34" i="25"/>
  <c r="F34" i="25"/>
  <c r="G34" i="25" s="1"/>
  <c r="A35" i="25"/>
  <c r="B35" i="25"/>
  <c r="D35" i="25"/>
  <c r="F35" i="25"/>
  <c r="G35" i="25" s="1"/>
  <c r="A38" i="25"/>
  <c r="B38" i="25"/>
  <c r="D38" i="25"/>
  <c r="A39" i="25"/>
  <c r="B39" i="25"/>
  <c r="D39" i="25"/>
  <c r="A40" i="25"/>
  <c r="B40" i="25"/>
  <c r="D40" i="25"/>
  <c r="F40" i="25"/>
  <c r="G40" i="25" s="1"/>
  <c r="A41" i="25"/>
  <c r="B41" i="25"/>
  <c r="D41" i="25"/>
  <c r="F41" i="25"/>
  <c r="G41" i="25" s="1"/>
  <c r="A42" i="25"/>
  <c r="B42" i="25"/>
  <c r="D42" i="25"/>
  <c r="F42" i="25"/>
  <c r="G42" i="25" s="1"/>
  <c r="A43" i="25"/>
  <c r="B43" i="25"/>
  <c r="D43" i="25"/>
  <c r="F43" i="25"/>
  <c r="G43" i="25" s="1"/>
  <c r="A44" i="25"/>
  <c r="B44" i="25"/>
  <c r="D44" i="25"/>
  <c r="F44" i="25"/>
  <c r="G44" i="25" s="1"/>
  <c r="A45" i="25"/>
  <c r="B45" i="25"/>
  <c r="D45" i="25"/>
  <c r="F45" i="25"/>
  <c r="G45" i="25" s="1"/>
  <c r="A46" i="25"/>
  <c r="B46" i="25"/>
  <c r="D46" i="25"/>
  <c r="F46" i="25"/>
  <c r="G46" i="25" s="1"/>
  <c r="C2" i="2"/>
  <c r="F39" i="25" l="1"/>
  <c r="G39" i="25" s="1"/>
  <c r="F38" i="25"/>
  <c r="G38" i="25" s="1"/>
  <c r="G47" i="25" l="1"/>
  <c r="F29" i="25"/>
  <c r="G29" i="25" s="1"/>
  <c r="F13" i="25"/>
  <c r="G13" i="25" s="1"/>
  <c r="F28" i="25"/>
  <c r="G28" i="25" s="1"/>
  <c r="F12" i="25"/>
  <c r="G12" i="25" s="1"/>
  <c r="F14" i="25"/>
  <c r="G14" i="25" s="1"/>
  <c r="X17" i="9"/>
  <c r="X16" i="9"/>
  <c r="G36" i="25" l="1"/>
  <c r="B7" i="28"/>
  <c r="C5" i="2" l="1"/>
  <c r="A52" i="9" l="1"/>
  <c r="C3" i="2" l="1"/>
  <c r="A56" i="9" l="1"/>
  <c r="A68" i="2" l="1"/>
  <c r="E181" i="2" l="1"/>
  <c r="B8" i="28" l="1"/>
  <c r="C60" i="15" l="1"/>
  <c r="D16" i="2"/>
  <c r="B35" i="18" l="1"/>
  <c r="B35" i="30"/>
  <c r="B35" i="19"/>
  <c r="E180" i="2"/>
  <c r="E177" i="2"/>
  <c r="A17" i="9" l="1"/>
  <c r="A18" i="9"/>
  <c r="A19" i="9"/>
  <c r="A20" i="9"/>
  <c r="A21" i="9"/>
  <c r="A22" i="9"/>
  <c r="A23" i="9"/>
  <c r="A24" i="9"/>
  <c r="A25" i="9"/>
  <c r="A26" i="9"/>
  <c r="A27" i="9"/>
  <c r="A28" i="9"/>
  <c r="A29" i="9"/>
  <c r="A38" i="9"/>
  <c r="A39" i="9"/>
  <c r="A40" i="9"/>
  <c r="A41" i="9"/>
  <c r="A42" i="9"/>
  <c r="A43" i="9"/>
  <c r="A44" i="9"/>
  <c r="A45" i="9"/>
  <c r="A46" i="9"/>
  <c r="A47" i="9"/>
  <c r="A48" i="9"/>
  <c r="A49" i="9"/>
  <c r="A50" i="9"/>
  <c r="A51" i="9"/>
  <c r="A53" i="9"/>
  <c r="A54" i="9"/>
  <c r="A55" i="9"/>
  <c r="A57" i="9"/>
  <c r="A58" i="9"/>
  <c r="C75" i="15" l="1"/>
  <c r="D75" i="15"/>
  <c r="A58" i="2"/>
  <c r="A59" i="2"/>
  <c r="A60" i="2"/>
  <c r="A61" i="2"/>
  <c r="A62" i="2"/>
  <c r="A63" i="2"/>
  <c r="A64" i="2"/>
  <c r="A65" i="2"/>
  <c r="A66" i="2"/>
  <c r="A67" i="2"/>
  <c r="A69" i="2"/>
  <c r="A70" i="2"/>
  <c r="A71" i="2"/>
  <c r="C50" i="31" l="1"/>
  <c r="C50" i="30"/>
  <c r="C50" i="19"/>
  <c r="C50" i="18"/>
  <c r="B50" i="31"/>
  <c r="B50" i="18"/>
  <c r="B50" i="30"/>
  <c r="B50" i="19"/>
  <c r="B68" i="2"/>
  <c r="D68" i="2"/>
  <c r="C76" i="15"/>
  <c r="B51" i="31" s="1"/>
  <c r="D76" i="15"/>
  <c r="C51" i="18" s="1"/>
  <c r="C51" i="19" l="1"/>
  <c r="C51" i="30"/>
  <c r="B51" i="18"/>
  <c r="B51" i="19"/>
  <c r="B51" i="30"/>
  <c r="C51" i="31"/>
  <c r="C85" i="15"/>
  <c r="B60" i="31" l="1"/>
  <c r="B60" i="30"/>
  <c r="B60" i="29"/>
  <c r="B60" i="27"/>
  <c r="B60" i="19"/>
  <c r="B60" i="18"/>
  <c r="B78" i="2"/>
  <c r="C78" i="15"/>
  <c r="D78" i="15"/>
  <c r="C74" i="15" l="1"/>
  <c r="D74" i="15"/>
  <c r="B49" i="31" l="1"/>
  <c r="B49" i="19"/>
  <c r="B49" i="18"/>
  <c r="B49" i="30"/>
  <c r="C49" i="31"/>
  <c r="C49" i="19"/>
  <c r="C49" i="18"/>
  <c r="C49" i="30"/>
  <c r="B69" i="2"/>
  <c r="D69" i="2"/>
  <c r="A30" i="2" l="1"/>
  <c r="A31" i="2"/>
  <c r="A32" i="2"/>
  <c r="A33" i="2"/>
  <c r="A34" i="2"/>
  <c r="A35" i="2"/>
  <c r="A36" i="2"/>
  <c r="A37" i="2"/>
  <c r="A38" i="2"/>
  <c r="A39" i="2"/>
  <c r="A40" i="2"/>
  <c r="A41" i="2"/>
  <c r="A50" i="2"/>
  <c r="A51" i="2"/>
  <c r="A52" i="2"/>
  <c r="A53" i="2"/>
  <c r="A54" i="2"/>
  <c r="A55" i="2"/>
  <c r="A56" i="2"/>
  <c r="A57" i="2"/>
  <c r="C39" i="15"/>
  <c r="D39" i="15"/>
  <c r="C40" i="15"/>
  <c r="D40" i="15"/>
  <c r="C36" i="15"/>
  <c r="D36" i="15"/>
  <c r="C37" i="15"/>
  <c r="B12" i="19" s="1"/>
  <c r="D37" i="15"/>
  <c r="C12" i="19" s="1"/>
  <c r="C38" i="15"/>
  <c r="D38" i="15"/>
  <c r="C41" i="15"/>
  <c r="D41" i="15"/>
  <c r="C42" i="15"/>
  <c r="D42" i="15"/>
  <c r="C43" i="15"/>
  <c r="D43" i="15"/>
  <c r="C44" i="15"/>
  <c r="D44" i="15"/>
  <c r="C45" i="15"/>
  <c r="D45" i="15"/>
  <c r="D46" i="15"/>
  <c r="C47" i="15"/>
  <c r="D47" i="15"/>
  <c r="A29" i="2"/>
  <c r="C20" i="19" l="1"/>
  <c r="C20" i="18"/>
  <c r="C20" i="30"/>
  <c r="B19" i="19"/>
  <c r="B19" i="30"/>
  <c r="B19" i="18"/>
  <c r="B20" i="19"/>
  <c r="B20" i="18"/>
  <c r="B20" i="30"/>
  <c r="C16" i="18"/>
  <c r="C16" i="30"/>
  <c r="C16" i="19"/>
  <c r="B16" i="18"/>
  <c r="B16" i="30"/>
  <c r="B16" i="19"/>
  <c r="C19" i="19"/>
  <c r="C19" i="30"/>
  <c r="C19" i="18"/>
  <c r="B18" i="19"/>
  <c r="B18" i="18"/>
  <c r="B18" i="30"/>
  <c r="C18" i="19"/>
  <c r="C18" i="18"/>
  <c r="C18" i="30"/>
  <c r="C13" i="19"/>
  <c r="C13" i="18"/>
  <c r="C15" i="18"/>
  <c r="C15" i="19"/>
  <c r="C17" i="18"/>
  <c r="C17" i="30"/>
  <c r="C17" i="19"/>
  <c r="B15" i="18"/>
  <c r="B15" i="19"/>
  <c r="B17" i="18"/>
  <c r="B17" i="30"/>
  <c r="B17" i="19"/>
  <c r="B13" i="19"/>
  <c r="B13" i="18"/>
  <c r="C22" i="30"/>
  <c r="C22" i="19"/>
  <c r="C22" i="18"/>
  <c r="B22" i="30"/>
  <c r="B22" i="18"/>
  <c r="B22" i="19"/>
  <c r="C14" i="19"/>
  <c r="C14" i="18"/>
  <c r="C21" i="19"/>
  <c r="C21" i="18"/>
  <c r="C21" i="30"/>
  <c r="B14" i="19"/>
  <c r="B14" i="18"/>
  <c r="C79" i="15" l="1"/>
  <c r="D79" i="15"/>
  <c r="C80" i="15"/>
  <c r="D80" i="15"/>
  <c r="C81" i="15"/>
  <c r="D81" i="15"/>
  <c r="C82" i="15"/>
  <c r="D82" i="15"/>
  <c r="C83" i="15"/>
  <c r="D83" i="15"/>
  <c r="C84" i="15"/>
  <c r="D84" i="15"/>
  <c r="D85" i="15"/>
  <c r="C86" i="15"/>
  <c r="D86" i="15"/>
  <c r="C87" i="15"/>
  <c r="D87" i="15"/>
  <c r="C88" i="15"/>
  <c r="D88" i="15"/>
  <c r="C89" i="15"/>
  <c r="D89" i="15"/>
  <c r="C90" i="15"/>
  <c r="D90" i="15"/>
  <c r="C91" i="15"/>
  <c r="D91" i="15"/>
  <c r="C92" i="15"/>
  <c r="B68" i="31" s="1"/>
  <c r="D92" i="15"/>
  <c r="C93" i="15"/>
  <c r="D93" i="15"/>
  <c r="C94" i="15"/>
  <c r="D94" i="15"/>
  <c r="C95" i="15"/>
  <c r="D95" i="15"/>
  <c r="C96" i="15"/>
  <c r="D96" i="15"/>
  <c r="C97" i="15"/>
  <c r="D97" i="15"/>
  <c r="C98" i="15"/>
  <c r="D98" i="15"/>
  <c r="C99" i="15"/>
  <c r="D99" i="15"/>
  <c r="C100" i="15"/>
  <c r="D100" i="15"/>
  <c r="C101" i="15"/>
  <c r="D101" i="15"/>
  <c r="C102" i="15"/>
  <c r="D102" i="15"/>
  <c r="C103" i="15"/>
  <c r="D103" i="15"/>
  <c r="C104" i="15"/>
  <c r="D104" i="15"/>
  <c r="C105" i="15"/>
  <c r="D105" i="15"/>
  <c r="C106" i="15"/>
  <c r="D106" i="15"/>
  <c r="C107" i="15"/>
  <c r="D107" i="15"/>
  <c r="C108" i="15"/>
  <c r="D108" i="15"/>
  <c r="C109" i="15"/>
  <c r="D109" i="15"/>
  <c r="C110" i="15"/>
  <c r="D110" i="15"/>
  <c r="C111" i="15"/>
  <c r="D111" i="15"/>
  <c r="C112" i="15"/>
  <c r="D112" i="15"/>
  <c r="C113" i="15"/>
  <c r="D113" i="15"/>
  <c r="B58" i="31" l="1"/>
  <c r="B58" i="19"/>
  <c r="B58" i="18"/>
  <c r="B58" i="30"/>
  <c r="B58" i="29"/>
  <c r="B58" i="27"/>
  <c r="B76" i="2"/>
  <c r="C75" i="31"/>
  <c r="C75" i="19"/>
  <c r="C75" i="30"/>
  <c r="C75" i="29"/>
  <c r="C75" i="27"/>
  <c r="C75" i="18"/>
  <c r="D93" i="2"/>
  <c r="C56" i="31"/>
  <c r="C56" i="19"/>
  <c r="C56" i="30"/>
  <c r="C56" i="29"/>
  <c r="C56" i="27"/>
  <c r="C56" i="18"/>
  <c r="D74" i="2"/>
  <c r="B56" i="31"/>
  <c r="B56" i="19"/>
  <c r="B56" i="30"/>
  <c r="B56" i="29"/>
  <c r="B56" i="27"/>
  <c r="B56" i="18"/>
  <c r="B74" i="2"/>
  <c r="C55" i="31"/>
  <c r="C55" i="19"/>
  <c r="C55" i="18"/>
  <c r="C55" i="30"/>
  <c r="C55" i="29"/>
  <c r="C55" i="27"/>
  <c r="D73" i="2"/>
  <c r="B77" i="31"/>
  <c r="B77" i="30"/>
  <c r="B77" i="29"/>
  <c r="B77" i="27"/>
  <c r="B77" i="19"/>
  <c r="B77" i="18"/>
  <c r="B95" i="2"/>
  <c r="C67" i="31"/>
  <c r="C67" i="19"/>
  <c r="C67" i="30"/>
  <c r="C67" i="29"/>
  <c r="C67" i="27"/>
  <c r="D84" i="2"/>
  <c r="B55" i="31"/>
  <c r="B55" i="19"/>
  <c r="B55" i="18"/>
  <c r="B55" i="30"/>
  <c r="B55" i="29"/>
  <c r="B55" i="27"/>
  <c r="B73" i="2"/>
  <c r="C57" i="31"/>
  <c r="C57" i="19"/>
  <c r="C57" i="30"/>
  <c r="C57" i="29"/>
  <c r="C57" i="27"/>
  <c r="C57" i="18"/>
  <c r="C73" i="31"/>
  <c r="C73" i="19"/>
  <c r="C73" i="18"/>
  <c r="C73" i="30"/>
  <c r="C73" i="29"/>
  <c r="C73" i="27"/>
  <c r="D91" i="2"/>
  <c r="C54" i="31"/>
  <c r="C54" i="18"/>
  <c r="C54" i="30"/>
  <c r="C54" i="29"/>
  <c r="C54" i="27"/>
  <c r="C54" i="19"/>
  <c r="C68" i="31"/>
  <c r="C68" i="19"/>
  <c r="C68" i="30"/>
  <c r="C67" i="18"/>
  <c r="C68" i="29"/>
  <c r="C68" i="27"/>
  <c r="C83" i="31"/>
  <c r="C83" i="19"/>
  <c r="C83" i="18"/>
  <c r="C83" i="30"/>
  <c r="C83" i="29"/>
  <c r="C83" i="27"/>
  <c r="D101" i="2"/>
  <c r="B54" i="31"/>
  <c r="B54" i="18"/>
  <c r="B54" i="30"/>
  <c r="B54" i="29"/>
  <c r="B54" i="27"/>
  <c r="B54" i="19"/>
  <c r="B72" i="2"/>
  <c r="C86" i="31"/>
  <c r="C86" i="19"/>
  <c r="C86" i="18"/>
  <c r="C86" i="30"/>
  <c r="C86" i="29"/>
  <c r="C86" i="27"/>
  <c r="D104" i="2"/>
  <c r="B84" i="31"/>
  <c r="B84" i="19"/>
  <c r="B84" i="30"/>
  <c r="B84" i="29"/>
  <c r="B84" i="27"/>
  <c r="B84" i="18"/>
  <c r="B102" i="2"/>
  <c r="B82" i="31"/>
  <c r="B82" i="18"/>
  <c r="B82" i="30"/>
  <c r="B82" i="29"/>
  <c r="B82" i="27"/>
  <c r="B82" i="19"/>
  <c r="B100" i="2"/>
  <c r="B64" i="31"/>
  <c r="B64" i="18"/>
  <c r="B64" i="30"/>
  <c r="B64" i="29"/>
  <c r="B64" i="27"/>
  <c r="B64" i="19"/>
  <c r="B82" i="2"/>
  <c r="B68" i="19"/>
  <c r="B67" i="18"/>
  <c r="B68" i="30"/>
  <c r="B68" i="29"/>
  <c r="B68" i="27"/>
  <c r="C66" i="31"/>
  <c r="C66" i="19"/>
  <c r="C66" i="30"/>
  <c r="C66" i="29"/>
  <c r="C66" i="27"/>
  <c r="C66" i="18"/>
  <c r="C82" i="31"/>
  <c r="C82" i="18"/>
  <c r="C82" i="30"/>
  <c r="C82" i="29"/>
  <c r="C82" i="27"/>
  <c r="C82" i="19"/>
  <c r="D100" i="2"/>
  <c r="C71" i="31"/>
  <c r="C71" i="18"/>
  <c r="C71" i="30"/>
  <c r="C71" i="29"/>
  <c r="C71" i="27"/>
  <c r="C71" i="19"/>
  <c r="C63" i="31"/>
  <c r="C63" i="18"/>
  <c r="C63" i="30"/>
  <c r="C63" i="29"/>
  <c r="C63" i="27"/>
  <c r="C63" i="19"/>
  <c r="D81" i="2"/>
  <c r="B57" i="31"/>
  <c r="B57" i="19"/>
  <c r="B57" i="30"/>
  <c r="B57" i="29"/>
  <c r="B57" i="27"/>
  <c r="B57" i="18"/>
  <c r="B75" i="2"/>
  <c r="B73" i="31"/>
  <c r="B73" i="19"/>
  <c r="B73" i="18"/>
  <c r="B73" i="30"/>
  <c r="B73" i="29"/>
  <c r="B73" i="27"/>
  <c r="B91" i="2"/>
  <c r="B63" i="31"/>
  <c r="B63" i="18"/>
  <c r="B63" i="30"/>
  <c r="B63" i="29"/>
  <c r="B63" i="27"/>
  <c r="B63" i="19"/>
  <c r="B81" i="2"/>
  <c r="C58" i="31"/>
  <c r="C58" i="19"/>
  <c r="C58" i="30"/>
  <c r="C58" i="18"/>
  <c r="C58" i="29"/>
  <c r="C58" i="27"/>
  <c r="D76" i="2"/>
  <c r="C85" i="31"/>
  <c r="C85" i="19"/>
  <c r="C85" i="30"/>
  <c r="C85" i="29"/>
  <c r="C85" i="27"/>
  <c r="C85" i="18"/>
  <c r="B66" i="31"/>
  <c r="B66" i="19"/>
  <c r="B66" i="30"/>
  <c r="B66" i="29"/>
  <c r="B66" i="27"/>
  <c r="B66" i="18"/>
  <c r="C64" i="31"/>
  <c r="C64" i="18"/>
  <c r="C64" i="30"/>
  <c r="C64" i="29"/>
  <c r="C64" i="27"/>
  <c r="C64" i="19"/>
  <c r="C70" i="31"/>
  <c r="C70" i="18"/>
  <c r="C70" i="30"/>
  <c r="C70" i="29"/>
  <c r="C70" i="27"/>
  <c r="C70" i="19"/>
  <c r="D88" i="2"/>
  <c r="C62" i="31"/>
  <c r="C62" i="18"/>
  <c r="C62" i="30"/>
  <c r="C62" i="29"/>
  <c r="C62" i="27"/>
  <c r="C62" i="19"/>
  <c r="D80" i="2"/>
  <c r="B87" i="31"/>
  <c r="B87" i="30"/>
  <c r="B87" i="29"/>
  <c r="B87" i="27"/>
  <c r="B87" i="18"/>
  <c r="B87" i="19"/>
  <c r="B105" i="2"/>
  <c r="B75" i="31"/>
  <c r="B75" i="19"/>
  <c r="B75" i="30"/>
  <c r="B75" i="29"/>
  <c r="B75" i="27"/>
  <c r="B75" i="18"/>
  <c r="B93" i="2"/>
  <c r="B83" i="31"/>
  <c r="B83" i="19"/>
  <c r="B83" i="18"/>
  <c r="B83" i="30"/>
  <c r="B83" i="29"/>
  <c r="B83" i="27"/>
  <c r="B101" i="2"/>
  <c r="B81" i="31"/>
  <c r="B81" i="18"/>
  <c r="B81" i="30"/>
  <c r="B81" i="29"/>
  <c r="B81" i="27"/>
  <c r="B81" i="19"/>
  <c r="B99" i="2"/>
  <c r="B80" i="31"/>
  <c r="B80" i="30"/>
  <c r="B80" i="29"/>
  <c r="B80" i="27"/>
  <c r="B80" i="19"/>
  <c r="B80" i="18"/>
  <c r="B98" i="2"/>
  <c r="B70" i="31"/>
  <c r="B70" i="30"/>
  <c r="B70" i="29"/>
  <c r="B70" i="27"/>
  <c r="B70" i="19"/>
  <c r="B70" i="18"/>
  <c r="B88" i="2"/>
  <c r="B62" i="31"/>
  <c r="B62" i="30"/>
  <c r="B62" i="29"/>
  <c r="B62" i="27"/>
  <c r="B62" i="19"/>
  <c r="B62" i="18"/>
  <c r="B80" i="2"/>
  <c r="B68" i="18"/>
  <c r="B85" i="2"/>
  <c r="B85" i="31"/>
  <c r="B85" i="19"/>
  <c r="B85" i="30"/>
  <c r="B85" i="29"/>
  <c r="B85" i="27"/>
  <c r="B85" i="18"/>
  <c r="B103" i="2"/>
  <c r="C65" i="31"/>
  <c r="C65" i="19"/>
  <c r="C65" i="18"/>
  <c r="C65" i="30"/>
  <c r="C65" i="29"/>
  <c r="C65" i="27"/>
  <c r="D83" i="2"/>
  <c r="C81" i="31"/>
  <c r="C81" i="18"/>
  <c r="C81" i="30"/>
  <c r="C81" i="29"/>
  <c r="C81" i="27"/>
  <c r="C81" i="19"/>
  <c r="D99" i="2"/>
  <c r="C79" i="31"/>
  <c r="C79" i="30"/>
  <c r="C79" i="29"/>
  <c r="C79" i="27"/>
  <c r="C79" i="19"/>
  <c r="C79" i="18"/>
  <c r="D97" i="2"/>
  <c r="C69" i="31"/>
  <c r="C69" i="30"/>
  <c r="C69" i="29"/>
  <c r="C69" i="27"/>
  <c r="C69" i="19"/>
  <c r="C69" i="18"/>
  <c r="C61" i="31"/>
  <c r="C61" i="30"/>
  <c r="C61" i="29"/>
  <c r="C61" i="27"/>
  <c r="C61" i="19"/>
  <c r="C61" i="18"/>
  <c r="D79" i="2"/>
  <c r="C76" i="31"/>
  <c r="C76" i="19"/>
  <c r="C76" i="30"/>
  <c r="C76" i="18"/>
  <c r="C76" i="29"/>
  <c r="C76" i="27"/>
  <c r="D94" i="2"/>
  <c r="C74" i="31"/>
  <c r="C74" i="19"/>
  <c r="C74" i="30"/>
  <c r="C74" i="29"/>
  <c r="C74" i="27"/>
  <c r="C74" i="18"/>
  <c r="D92" i="2"/>
  <c r="C72" i="31"/>
  <c r="C72" i="18"/>
  <c r="C72" i="30"/>
  <c r="C72" i="29"/>
  <c r="C72" i="27"/>
  <c r="C72" i="19"/>
  <c r="D90" i="2"/>
  <c r="B69" i="31"/>
  <c r="B69" i="30"/>
  <c r="B69" i="29"/>
  <c r="B69" i="27"/>
  <c r="B69" i="19"/>
  <c r="B69" i="18"/>
  <c r="B87" i="2"/>
  <c r="B61" i="31"/>
  <c r="B61" i="30"/>
  <c r="B61" i="29"/>
  <c r="B61" i="27"/>
  <c r="B61" i="19"/>
  <c r="B61" i="18"/>
  <c r="B79" i="2"/>
  <c r="B76" i="31"/>
  <c r="B76" i="19"/>
  <c r="B76" i="18"/>
  <c r="B76" i="30"/>
  <c r="B76" i="29"/>
  <c r="B76" i="27"/>
  <c r="B94" i="2"/>
  <c r="B74" i="31"/>
  <c r="B74" i="19"/>
  <c r="B74" i="30"/>
  <c r="B74" i="29"/>
  <c r="B74" i="27"/>
  <c r="B74" i="18"/>
  <c r="B92" i="2"/>
  <c r="B71" i="31"/>
  <c r="B71" i="18"/>
  <c r="B71" i="30"/>
  <c r="B71" i="29"/>
  <c r="B71" i="27"/>
  <c r="B71" i="19"/>
  <c r="B89" i="2"/>
  <c r="C88" i="31"/>
  <c r="C88" i="30"/>
  <c r="C88" i="29"/>
  <c r="C88" i="27"/>
  <c r="C88" i="19"/>
  <c r="C88" i="18"/>
  <c r="D106" i="2"/>
  <c r="C78" i="31"/>
  <c r="C78" i="30"/>
  <c r="C78" i="29"/>
  <c r="C78" i="27"/>
  <c r="C78" i="19"/>
  <c r="C78" i="18"/>
  <c r="D96" i="2"/>
  <c r="D86" i="2"/>
  <c r="C60" i="31"/>
  <c r="C60" i="30"/>
  <c r="C60" i="29"/>
  <c r="C60" i="27"/>
  <c r="C60" i="19"/>
  <c r="C60" i="18"/>
  <c r="B67" i="31"/>
  <c r="B67" i="19"/>
  <c r="B67" i="30"/>
  <c r="B67" i="29"/>
  <c r="B67" i="27"/>
  <c r="B84" i="2"/>
  <c r="B65" i="31"/>
  <c r="B65" i="19"/>
  <c r="B65" i="18"/>
  <c r="B65" i="30"/>
  <c r="B65" i="29"/>
  <c r="B65" i="27"/>
  <c r="B83" i="2"/>
  <c r="C80" i="31"/>
  <c r="C80" i="18"/>
  <c r="C80" i="30"/>
  <c r="C80" i="29"/>
  <c r="C80" i="27"/>
  <c r="C80" i="19"/>
  <c r="D98" i="2"/>
  <c r="B88" i="31"/>
  <c r="B88" i="30"/>
  <c r="B88" i="29"/>
  <c r="B88" i="27"/>
  <c r="B88" i="19"/>
  <c r="B88" i="18"/>
  <c r="B106" i="2"/>
  <c r="B78" i="31"/>
  <c r="B78" i="30"/>
  <c r="B78" i="29"/>
  <c r="B78" i="27"/>
  <c r="B78" i="19"/>
  <c r="B78" i="18"/>
  <c r="B96" i="2"/>
  <c r="B86" i="2"/>
  <c r="C59" i="31"/>
  <c r="C59" i="30"/>
  <c r="C59" i="29"/>
  <c r="C59" i="27"/>
  <c r="C59" i="18"/>
  <c r="C59" i="19"/>
  <c r="D77" i="2"/>
  <c r="B86" i="31"/>
  <c r="B86" i="19"/>
  <c r="B86" i="18"/>
  <c r="B86" i="30"/>
  <c r="B86" i="29"/>
  <c r="B86" i="27"/>
  <c r="B104" i="2"/>
  <c r="C84" i="31"/>
  <c r="C84" i="19"/>
  <c r="C84" i="30"/>
  <c r="C84" i="29"/>
  <c r="C84" i="27"/>
  <c r="C84" i="18"/>
  <c r="D102" i="2"/>
  <c r="B72" i="31"/>
  <c r="B72" i="18"/>
  <c r="B72" i="30"/>
  <c r="B72" i="29"/>
  <c r="B72" i="27"/>
  <c r="B72" i="19"/>
  <c r="B90" i="2"/>
  <c r="B79" i="31"/>
  <c r="B79" i="30"/>
  <c r="B79" i="29"/>
  <c r="B79" i="27"/>
  <c r="B79" i="19"/>
  <c r="B79" i="18"/>
  <c r="B97" i="2"/>
  <c r="C87" i="31"/>
  <c r="C87" i="30"/>
  <c r="C87" i="29"/>
  <c r="C87" i="27"/>
  <c r="C87" i="18"/>
  <c r="C87" i="19"/>
  <c r="D105" i="2"/>
  <c r="C77" i="31"/>
  <c r="C77" i="30"/>
  <c r="C77" i="29"/>
  <c r="C77" i="27"/>
  <c r="C77" i="19"/>
  <c r="C77" i="18"/>
  <c r="D95" i="2"/>
  <c r="C68" i="18"/>
  <c r="D85" i="2"/>
  <c r="B59" i="31"/>
  <c r="B59" i="30"/>
  <c r="B59" i="29"/>
  <c r="B59" i="27"/>
  <c r="B59" i="18"/>
  <c r="B59" i="19"/>
  <c r="B77" i="2"/>
  <c r="C4" i="2"/>
  <c r="C124" i="18" l="1"/>
  <c r="B124" i="18"/>
  <c r="B123" i="18"/>
  <c r="B121" i="18"/>
  <c r="B120" i="18"/>
  <c r="B118" i="18"/>
  <c r="C64" i="15"/>
  <c r="C72" i="15"/>
  <c r="D72" i="15"/>
  <c r="C47" i="31" l="1"/>
  <c r="C47" i="19"/>
  <c r="C47" i="30"/>
  <c r="C47" i="18"/>
  <c r="B47" i="31"/>
  <c r="B47" i="19"/>
  <c r="B47" i="30"/>
  <c r="B47" i="18"/>
  <c r="B39" i="19"/>
  <c r="B39" i="18"/>
  <c r="B39" i="30"/>
  <c r="D64" i="15"/>
  <c r="C39" i="19" l="1"/>
  <c r="C39" i="18"/>
  <c r="C39" i="30"/>
  <c r="D17" i="2" l="1"/>
  <c r="F15" i="25" l="1"/>
  <c r="G15" i="25" s="1"/>
  <c r="G26" i="25" l="1"/>
  <c r="G49" i="25" s="1"/>
  <c r="D73" i="15"/>
  <c r="D77" i="15"/>
  <c r="C52" i="31" l="1"/>
  <c r="C52" i="30"/>
  <c r="C52" i="18"/>
  <c r="C52" i="19"/>
  <c r="C53" i="31"/>
  <c r="C53" i="18"/>
  <c r="C53" i="30"/>
  <c r="C53" i="19"/>
  <c r="C48" i="31"/>
  <c r="C48" i="19"/>
  <c r="C48" i="18"/>
  <c r="C48" i="30"/>
  <c r="D70" i="2"/>
  <c r="D71" i="2"/>
  <c r="C63" i="15" l="1"/>
  <c r="D63" i="15"/>
  <c r="C38" i="19" l="1"/>
  <c r="C38" i="18"/>
  <c r="C38" i="30"/>
  <c r="B38" i="19"/>
  <c r="B38" i="30"/>
  <c r="B38" i="18"/>
  <c r="C48" i="15"/>
  <c r="D48" i="15"/>
  <c r="C57" i="15"/>
  <c r="D57" i="15"/>
  <c r="C58" i="15"/>
  <c r="D58" i="15"/>
  <c r="C59" i="15"/>
  <c r="D59" i="15"/>
  <c r="B39" i="27"/>
  <c r="D60" i="15"/>
  <c r="C61" i="15"/>
  <c r="D61" i="15"/>
  <c r="C62" i="15"/>
  <c r="D62" i="15"/>
  <c r="C65" i="15"/>
  <c r="D65" i="15"/>
  <c r="C66" i="15"/>
  <c r="D66" i="15"/>
  <c r="C67" i="15"/>
  <c r="D67" i="15"/>
  <c r="C68" i="15"/>
  <c r="D68" i="15"/>
  <c r="C69" i="15"/>
  <c r="D69" i="15"/>
  <c r="C70" i="15"/>
  <c r="D70" i="15"/>
  <c r="C71" i="15"/>
  <c r="D71" i="15"/>
  <c r="C73" i="15"/>
  <c r="D66" i="2"/>
  <c r="C36" i="19" l="1"/>
  <c r="C36" i="18"/>
  <c r="C36" i="30"/>
  <c r="C34" i="18"/>
  <c r="C34" i="30"/>
  <c r="C34" i="19"/>
  <c r="B34" i="18"/>
  <c r="B34" i="30"/>
  <c r="B34" i="19"/>
  <c r="C33" i="18"/>
  <c r="C33" i="30"/>
  <c r="C33" i="19"/>
  <c r="B36" i="19"/>
  <c r="B36" i="18"/>
  <c r="B36" i="30"/>
  <c r="C46" i="31"/>
  <c r="C46" i="19"/>
  <c r="C46" i="18"/>
  <c r="C46" i="30"/>
  <c r="B33" i="18"/>
  <c r="B33" i="30"/>
  <c r="B33" i="19"/>
  <c r="B37" i="19"/>
  <c r="B37" i="30"/>
  <c r="B37" i="18"/>
  <c r="C32" i="30"/>
  <c r="C32" i="18"/>
  <c r="C32" i="19"/>
  <c r="B48" i="31"/>
  <c r="B48" i="19"/>
  <c r="B48" i="30"/>
  <c r="B48" i="18"/>
  <c r="B32" i="30"/>
  <c r="B32" i="19"/>
  <c r="B32" i="18"/>
  <c r="B45" i="18"/>
  <c r="B45" i="30"/>
  <c r="B45" i="19"/>
  <c r="C23" i="30"/>
  <c r="C23" i="19"/>
  <c r="C23" i="18"/>
  <c r="C35" i="18"/>
  <c r="C35" i="30"/>
  <c r="C35" i="19"/>
  <c r="B44" i="18"/>
  <c r="B44" i="30"/>
  <c r="B44" i="19"/>
  <c r="C43" i="18"/>
  <c r="C43" i="30"/>
  <c r="C43" i="19"/>
  <c r="B43" i="18"/>
  <c r="B43" i="30"/>
  <c r="B43" i="19"/>
  <c r="B23" i="30"/>
  <c r="B23" i="19"/>
  <c r="B23" i="18"/>
  <c r="C37" i="19"/>
  <c r="C37" i="30"/>
  <c r="C37" i="18"/>
  <c r="C45" i="18"/>
  <c r="C45" i="30"/>
  <c r="C45" i="19"/>
  <c r="B46" i="31"/>
  <c r="B46" i="19"/>
  <c r="B46" i="18"/>
  <c r="B46" i="30"/>
  <c r="C42" i="30"/>
  <c r="C42" i="18"/>
  <c r="C42" i="19"/>
  <c r="C40" i="30"/>
  <c r="C40" i="19"/>
  <c r="C40" i="18"/>
  <c r="C44" i="18"/>
  <c r="C44" i="30"/>
  <c r="C44" i="19"/>
  <c r="B42" i="30"/>
  <c r="B42" i="19"/>
  <c r="B42" i="18"/>
  <c r="C41" i="30"/>
  <c r="C41" i="19"/>
  <c r="C41" i="18"/>
  <c r="B41" i="30"/>
  <c r="B41" i="19"/>
  <c r="B41" i="18"/>
  <c r="B40" i="30"/>
  <c r="B40" i="18"/>
  <c r="B40" i="19"/>
  <c r="D65" i="2"/>
  <c r="B67" i="2"/>
  <c r="B66" i="2"/>
  <c r="B65" i="2"/>
  <c r="B62" i="2" l="1"/>
  <c r="D62" i="2"/>
  <c r="B59" i="2" l="1"/>
  <c r="D59" i="2"/>
  <c r="C20" i="15"/>
  <c r="B47" i="22" l="1"/>
  <c r="C47" i="22"/>
  <c r="C21" i="22"/>
  <c r="C22" i="22"/>
  <c r="C17" i="22"/>
  <c r="C16" i="22"/>
  <c r="C8" i="2"/>
  <c r="C23" i="22" l="1"/>
  <c r="C11" i="22"/>
  <c r="B46" i="22" l="1"/>
  <c r="C46" i="22"/>
  <c r="B62" i="22"/>
  <c r="B126" i="19"/>
  <c r="C19" i="15"/>
  <c r="B50" i="34" l="1"/>
  <c r="C50" i="34"/>
  <c r="E50" i="34"/>
  <c r="B52" i="34"/>
  <c r="C52" i="34"/>
  <c r="B53" i="34"/>
  <c r="C53" i="34"/>
  <c r="B55" i="34"/>
  <c r="C55" i="34"/>
  <c r="B56" i="34"/>
  <c r="C56" i="34"/>
  <c r="B58" i="34"/>
  <c r="C33" i="29" l="1"/>
  <c r="B33" i="29"/>
  <c r="B21" i="29" l="1"/>
  <c r="C21" i="29"/>
  <c r="C19" i="22" l="1"/>
  <c r="C77" i="15" l="1"/>
  <c r="C12" i="22"/>
  <c r="C14" i="22"/>
  <c r="C15" i="22"/>
  <c r="B11" i="22"/>
  <c r="C18" i="22"/>
  <c r="C20" i="22"/>
  <c r="C25" i="22"/>
  <c r="C26" i="22"/>
  <c r="C27" i="22"/>
  <c r="B17" i="22"/>
  <c r="C30" i="22"/>
  <c r="C31" i="22"/>
  <c r="C32" i="22"/>
  <c r="C34" i="22"/>
  <c r="C35" i="22"/>
  <c r="B38" i="22"/>
  <c r="C38" i="22"/>
  <c r="C115" i="15"/>
  <c r="D115" i="15"/>
  <c r="C116" i="15"/>
  <c r="D116" i="15"/>
  <c r="C117" i="15"/>
  <c r="D117" i="15"/>
  <c r="C118" i="15"/>
  <c r="D118" i="15"/>
  <c r="C119" i="15"/>
  <c r="D119" i="15"/>
  <c r="C120" i="15"/>
  <c r="D120" i="15"/>
  <c r="C121" i="15"/>
  <c r="D121" i="15"/>
  <c r="C122" i="15"/>
  <c r="D122" i="15"/>
  <c r="C123" i="15"/>
  <c r="D123" i="15"/>
  <c r="C124" i="15"/>
  <c r="D124" i="15"/>
  <c r="C125" i="15"/>
  <c r="D125" i="15"/>
  <c r="C126" i="15"/>
  <c r="D126" i="15"/>
  <c r="C127" i="15"/>
  <c r="D127" i="15"/>
  <c r="C128" i="15"/>
  <c r="D128" i="15"/>
  <c r="C129" i="15"/>
  <c r="D129" i="15"/>
  <c r="C130" i="15"/>
  <c r="D130" i="15"/>
  <c r="C131" i="15"/>
  <c r="D131" i="15"/>
  <c r="C132" i="15"/>
  <c r="D132" i="15"/>
  <c r="C133" i="15"/>
  <c r="D133" i="15"/>
  <c r="C134" i="15"/>
  <c r="D134" i="15"/>
  <c r="C135" i="15"/>
  <c r="D135" i="15"/>
  <c r="C136" i="15"/>
  <c r="D136" i="15"/>
  <c r="C137" i="15"/>
  <c r="D137" i="15"/>
  <c r="C139" i="15"/>
  <c r="D139" i="15"/>
  <c r="C140" i="15"/>
  <c r="D140" i="15"/>
  <c r="C141" i="15"/>
  <c r="D141" i="15"/>
  <c r="C142" i="15"/>
  <c r="B135" i="2" s="1"/>
  <c r="D142" i="15"/>
  <c r="C143" i="15"/>
  <c r="B136" i="2" s="1"/>
  <c r="D143" i="15"/>
  <c r="D136" i="2" s="1"/>
  <c r="C144" i="15"/>
  <c r="B137" i="2" s="1"/>
  <c r="D144" i="15"/>
  <c r="D137" i="2" s="1"/>
  <c r="B20" i="35"/>
  <c r="C20" i="35"/>
  <c r="B21" i="35"/>
  <c r="C21" i="35"/>
  <c r="B22" i="35"/>
  <c r="C22" i="35"/>
  <c r="B47" i="35"/>
  <c r="C47" i="35"/>
  <c r="C184" i="15"/>
  <c r="D184" i="15"/>
  <c r="C185" i="15"/>
  <c r="D185" i="15"/>
  <c r="C186" i="15"/>
  <c r="D186" i="15"/>
  <c r="C187" i="15"/>
  <c r="D187" i="15"/>
  <c r="C188" i="15"/>
  <c r="D188" i="15"/>
  <c r="C189" i="15"/>
  <c r="D189" i="15"/>
  <c r="C32" i="35" l="1"/>
  <c r="B41" i="35"/>
  <c r="B28" i="35"/>
  <c r="B14" i="35"/>
  <c r="C40" i="35"/>
  <c r="C35" i="35"/>
  <c r="C31" i="35"/>
  <c r="C17" i="35"/>
  <c r="C13" i="35"/>
  <c r="C41" i="35"/>
  <c r="C18" i="35"/>
  <c r="B45" i="35"/>
  <c r="B36" i="35"/>
  <c r="B32" i="35"/>
  <c r="B18" i="35"/>
  <c r="B44" i="35"/>
  <c r="B40" i="35"/>
  <c r="B35" i="35"/>
  <c r="B31" i="35"/>
  <c r="B27" i="35"/>
  <c r="B17" i="35"/>
  <c r="B13" i="35"/>
  <c r="C36" i="35"/>
  <c r="C14" i="35"/>
  <c r="C43" i="35"/>
  <c r="C39" i="35"/>
  <c r="C34" i="35"/>
  <c r="C30" i="35"/>
  <c r="C24" i="35"/>
  <c r="C16" i="35"/>
  <c r="C12" i="35"/>
  <c r="B12" i="35"/>
  <c r="C46" i="35"/>
  <c r="C42" i="35"/>
  <c r="C33" i="35"/>
  <c r="C29" i="35"/>
  <c r="C23" i="35"/>
  <c r="C19" i="35"/>
  <c r="C15" i="35"/>
  <c r="C45" i="35"/>
  <c r="C28" i="35"/>
  <c r="B43" i="35"/>
  <c r="B39" i="35"/>
  <c r="B34" i="35"/>
  <c r="B30" i="35"/>
  <c r="B24" i="35"/>
  <c r="B16" i="35"/>
  <c r="B46" i="35"/>
  <c r="B42" i="35"/>
  <c r="B38" i="35"/>
  <c r="B33" i="35"/>
  <c r="B29" i="35"/>
  <c r="B23" i="35"/>
  <c r="B19" i="35"/>
  <c r="B15" i="35"/>
  <c r="B11" i="35"/>
  <c r="B52" i="30"/>
  <c r="B52" i="19"/>
  <c r="B52" i="18"/>
  <c r="B52" i="31"/>
  <c r="C112" i="31"/>
  <c r="C112" i="19"/>
  <c r="C112" i="27"/>
  <c r="C112" i="18"/>
  <c r="C112" i="30"/>
  <c r="C112" i="29"/>
  <c r="D130" i="2"/>
  <c r="C102" i="31"/>
  <c r="C102" i="19"/>
  <c r="C102" i="27"/>
  <c r="C102" i="18"/>
  <c r="C102" i="30"/>
  <c r="C102" i="29"/>
  <c r="D120" i="2"/>
  <c r="B112" i="31"/>
  <c r="B112" i="19"/>
  <c r="B112" i="18"/>
  <c r="B112" i="30"/>
  <c r="B112" i="29"/>
  <c r="B112" i="27"/>
  <c r="B130" i="2"/>
  <c r="B102" i="31"/>
  <c r="B102" i="19"/>
  <c r="B102" i="18"/>
  <c r="B102" i="30"/>
  <c r="B102" i="29"/>
  <c r="B102" i="27"/>
  <c r="B120" i="2"/>
  <c r="C111" i="31"/>
  <c r="C111" i="19"/>
  <c r="C111" i="30"/>
  <c r="C111" i="29"/>
  <c r="C111" i="27"/>
  <c r="C111" i="18"/>
  <c r="D129" i="2"/>
  <c r="C101" i="31"/>
  <c r="C101" i="19"/>
  <c r="C101" i="30"/>
  <c r="C101" i="29"/>
  <c r="C101" i="27"/>
  <c r="C101" i="18"/>
  <c r="D119" i="2"/>
  <c r="C92" i="31"/>
  <c r="C92" i="19"/>
  <c r="C92" i="30"/>
  <c r="C92" i="29"/>
  <c r="C92" i="27"/>
  <c r="C92" i="18"/>
  <c r="D110" i="2"/>
  <c r="B103" i="31"/>
  <c r="B103" i="30"/>
  <c r="B103" i="29"/>
  <c r="B103" i="27"/>
  <c r="B103" i="19"/>
  <c r="B103" i="18"/>
  <c r="B121" i="2"/>
  <c r="C47" i="34"/>
  <c r="B47" i="34"/>
  <c r="B111" i="31"/>
  <c r="B111" i="19"/>
  <c r="B111" i="30"/>
  <c r="B111" i="29"/>
  <c r="B111" i="27"/>
  <c r="B111" i="18"/>
  <c r="B129" i="2"/>
  <c r="B101" i="31"/>
  <c r="B101" i="19"/>
  <c r="B101" i="30"/>
  <c r="B101" i="29"/>
  <c r="B101" i="27"/>
  <c r="B101" i="18"/>
  <c r="B119" i="2"/>
  <c r="B92" i="31"/>
  <c r="B92" i="19"/>
  <c r="B92" i="30"/>
  <c r="B92" i="29"/>
  <c r="B92" i="27"/>
  <c r="B92" i="18"/>
  <c r="B110" i="2"/>
  <c r="C110" i="31"/>
  <c r="C110" i="19"/>
  <c r="C110" i="30"/>
  <c r="C110" i="29"/>
  <c r="C110" i="27"/>
  <c r="C110" i="18"/>
  <c r="C100" i="31"/>
  <c r="C100" i="19"/>
  <c r="C100" i="30"/>
  <c r="C100" i="29"/>
  <c r="C100" i="27"/>
  <c r="C100" i="18"/>
  <c r="D118" i="2"/>
  <c r="C91" i="31"/>
  <c r="C91" i="19"/>
  <c r="C91" i="30"/>
  <c r="C91" i="29"/>
  <c r="C91" i="27"/>
  <c r="C91" i="18"/>
  <c r="D109" i="2"/>
  <c r="B104" i="31"/>
  <c r="B104" i="30"/>
  <c r="B104" i="29"/>
  <c r="B104" i="27"/>
  <c r="B104" i="19"/>
  <c r="B104" i="18"/>
  <c r="B122" i="2"/>
  <c r="C114" i="31"/>
  <c r="C114" i="30"/>
  <c r="C114" i="29"/>
  <c r="C114" i="27"/>
  <c r="C114" i="19"/>
  <c r="B110" i="31"/>
  <c r="B110" i="19"/>
  <c r="B110" i="30"/>
  <c r="B110" i="29"/>
  <c r="B110" i="27"/>
  <c r="B110" i="18"/>
  <c r="B128" i="2"/>
  <c r="B100" i="31"/>
  <c r="B100" i="19"/>
  <c r="B100" i="30"/>
  <c r="B100" i="29"/>
  <c r="B100" i="27"/>
  <c r="B100" i="18"/>
  <c r="B118" i="2"/>
  <c r="B91" i="31"/>
  <c r="B91" i="19"/>
  <c r="B91" i="30"/>
  <c r="B91" i="29"/>
  <c r="B91" i="27"/>
  <c r="B91" i="18"/>
  <c r="B109" i="2"/>
  <c r="C22" i="34"/>
  <c r="C109" i="31"/>
  <c r="C109" i="19"/>
  <c r="C109" i="18"/>
  <c r="C109" i="30"/>
  <c r="C109" i="29"/>
  <c r="C109" i="27"/>
  <c r="D127" i="2"/>
  <c r="C99" i="31"/>
  <c r="C99" i="19"/>
  <c r="C99" i="18"/>
  <c r="C99" i="30"/>
  <c r="C99" i="29"/>
  <c r="C99" i="27"/>
  <c r="D117" i="2"/>
  <c r="B22" i="34"/>
  <c r="B109" i="31"/>
  <c r="B109" i="19"/>
  <c r="B109" i="18"/>
  <c r="B109" i="30"/>
  <c r="B109" i="29"/>
  <c r="B109" i="27"/>
  <c r="B127" i="2"/>
  <c r="B99" i="31"/>
  <c r="B99" i="19"/>
  <c r="B99" i="18"/>
  <c r="B99" i="30"/>
  <c r="B99" i="29"/>
  <c r="B99" i="27"/>
  <c r="B117" i="2"/>
  <c r="C93" i="31"/>
  <c r="C93" i="30"/>
  <c r="C93" i="29"/>
  <c r="C93" i="27"/>
  <c r="C93" i="18"/>
  <c r="C93" i="19"/>
  <c r="D111" i="2"/>
  <c r="C21" i="34"/>
  <c r="C108" i="31"/>
  <c r="C108" i="18"/>
  <c r="C108" i="30"/>
  <c r="C108" i="29"/>
  <c r="C108" i="27"/>
  <c r="C108" i="19"/>
  <c r="D126" i="2"/>
  <c r="C98" i="31"/>
  <c r="C98" i="18"/>
  <c r="C98" i="30"/>
  <c r="C98" i="29"/>
  <c r="C98" i="27"/>
  <c r="C98" i="19"/>
  <c r="D116" i="2"/>
  <c r="C90" i="31"/>
  <c r="C90" i="18"/>
  <c r="C90" i="30"/>
  <c r="C90" i="29"/>
  <c r="C90" i="27"/>
  <c r="C90" i="19"/>
  <c r="D108" i="2"/>
  <c r="C107" i="31"/>
  <c r="C107" i="18"/>
  <c r="C107" i="30"/>
  <c r="C107" i="29"/>
  <c r="C107" i="27"/>
  <c r="C107" i="19"/>
  <c r="D125" i="2"/>
  <c r="B115" i="31"/>
  <c r="B115" i="30"/>
  <c r="B115" i="29"/>
  <c r="B115" i="27"/>
  <c r="B115" i="19"/>
  <c r="B115" i="18"/>
  <c r="C97" i="31"/>
  <c r="C97" i="18"/>
  <c r="C97" i="30"/>
  <c r="C97" i="29"/>
  <c r="C97" i="27"/>
  <c r="C97" i="19"/>
  <c r="D115" i="2"/>
  <c r="B20" i="34"/>
  <c r="B107" i="31"/>
  <c r="B107" i="18"/>
  <c r="B107" i="30"/>
  <c r="B107" i="29"/>
  <c r="B107" i="27"/>
  <c r="B107" i="19"/>
  <c r="B125" i="2"/>
  <c r="B97" i="31"/>
  <c r="B97" i="18"/>
  <c r="B97" i="30"/>
  <c r="B97" i="29"/>
  <c r="B97" i="27"/>
  <c r="B97" i="19"/>
  <c r="B115" i="2"/>
  <c r="B53" i="31"/>
  <c r="B53" i="30"/>
  <c r="B53" i="19"/>
  <c r="B53" i="18"/>
  <c r="C20" i="34"/>
  <c r="C106" i="31"/>
  <c r="C106" i="18"/>
  <c r="C106" i="30"/>
  <c r="C106" i="29"/>
  <c r="C106" i="27"/>
  <c r="C106" i="19"/>
  <c r="D124" i="2"/>
  <c r="C96" i="31"/>
  <c r="C96" i="18"/>
  <c r="C96" i="30"/>
  <c r="C96" i="29"/>
  <c r="C96" i="27"/>
  <c r="C96" i="19"/>
  <c r="D114" i="2"/>
  <c r="B94" i="31"/>
  <c r="B94" i="30"/>
  <c r="B94" i="29"/>
  <c r="B94" i="27"/>
  <c r="B94" i="19"/>
  <c r="B94" i="18"/>
  <c r="B112" i="2"/>
  <c r="B93" i="31"/>
  <c r="B93" i="30"/>
  <c r="B93" i="29"/>
  <c r="B93" i="27"/>
  <c r="B93" i="18"/>
  <c r="B93" i="19"/>
  <c r="B111" i="2"/>
  <c r="B108" i="31"/>
  <c r="B108" i="18"/>
  <c r="B108" i="30"/>
  <c r="B108" i="29"/>
  <c r="B108" i="27"/>
  <c r="B108" i="19"/>
  <c r="B126" i="2"/>
  <c r="B106" i="31"/>
  <c r="B106" i="30"/>
  <c r="B106" i="29"/>
  <c r="B106" i="27"/>
  <c r="B106" i="19"/>
  <c r="B106" i="18"/>
  <c r="B124" i="2"/>
  <c r="B96" i="31"/>
  <c r="B96" i="30"/>
  <c r="B96" i="29"/>
  <c r="B96" i="27"/>
  <c r="B96" i="19"/>
  <c r="B96" i="18"/>
  <c r="B114" i="2"/>
  <c r="B90" i="31"/>
  <c r="B90" i="18"/>
  <c r="B90" i="30"/>
  <c r="B90" i="29"/>
  <c r="B90" i="27"/>
  <c r="B90" i="19"/>
  <c r="B108" i="2"/>
  <c r="D133" i="2"/>
  <c r="C105" i="31"/>
  <c r="C105" i="30"/>
  <c r="C105" i="29"/>
  <c r="C105" i="27"/>
  <c r="C105" i="19"/>
  <c r="C105" i="18"/>
  <c r="D123" i="2"/>
  <c r="C95" i="31"/>
  <c r="C95" i="30"/>
  <c r="C95" i="29"/>
  <c r="C95" i="27"/>
  <c r="C95" i="18"/>
  <c r="C95" i="19"/>
  <c r="C103" i="31"/>
  <c r="C103" i="30"/>
  <c r="C103" i="29"/>
  <c r="C103" i="27"/>
  <c r="C103" i="19"/>
  <c r="C103" i="18"/>
  <c r="D121" i="2"/>
  <c r="B114" i="31"/>
  <c r="B114" i="30"/>
  <c r="B114" i="29"/>
  <c r="B114" i="27"/>
  <c r="B114" i="19"/>
  <c r="B132" i="2"/>
  <c r="B114" i="18"/>
  <c r="B21" i="34"/>
  <c r="B98" i="31"/>
  <c r="B98" i="18"/>
  <c r="B98" i="30"/>
  <c r="B98" i="29"/>
  <c r="B98" i="27"/>
  <c r="B98" i="19"/>
  <c r="B116" i="2"/>
  <c r="B133" i="2"/>
  <c r="B105" i="31"/>
  <c r="B105" i="30"/>
  <c r="B105" i="29"/>
  <c r="B105" i="27"/>
  <c r="B105" i="19"/>
  <c r="B105" i="18"/>
  <c r="B123" i="2"/>
  <c r="B95" i="31"/>
  <c r="B95" i="30"/>
  <c r="B95" i="29"/>
  <c r="B95" i="27"/>
  <c r="B95" i="19"/>
  <c r="B95" i="18"/>
  <c r="B113" i="2"/>
  <c r="C115" i="31"/>
  <c r="C115" i="30"/>
  <c r="C115" i="29"/>
  <c r="C115" i="27"/>
  <c r="C115" i="19"/>
  <c r="C115" i="18"/>
  <c r="C104" i="31"/>
  <c r="C104" i="30"/>
  <c r="C104" i="29"/>
  <c r="C104" i="27"/>
  <c r="C104" i="19"/>
  <c r="C104" i="18"/>
  <c r="D122" i="2"/>
  <c r="C94" i="31"/>
  <c r="C94" i="30"/>
  <c r="C94" i="29"/>
  <c r="C94" i="27"/>
  <c r="C94" i="19"/>
  <c r="C94" i="18"/>
  <c r="D112" i="2"/>
  <c r="B70" i="2"/>
  <c r="B71" i="2"/>
  <c r="C45" i="22"/>
  <c r="C41" i="22"/>
  <c r="C42" i="22"/>
  <c r="B42" i="22"/>
  <c r="B43" i="22"/>
  <c r="C43" i="22"/>
  <c r="C39" i="22"/>
  <c r="B39" i="22"/>
  <c r="C44" i="22"/>
  <c r="C40" i="22"/>
  <c r="B44" i="22"/>
  <c r="B40" i="22"/>
  <c r="B45" i="22"/>
  <c r="B41" i="22"/>
  <c r="B21" i="22"/>
  <c r="C33" i="22"/>
  <c r="B19" i="22"/>
  <c r="B12" i="22"/>
  <c r="C28" i="22"/>
  <c r="C29" i="22"/>
  <c r="B37" i="22"/>
  <c r="C37" i="22"/>
  <c r="B20" i="22"/>
  <c r="B15" i="22"/>
  <c r="B14" i="22"/>
  <c r="B13" i="22"/>
  <c r="B27" i="22"/>
  <c r="B25" i="22"/>
  <c r="B23" i="22"/>
  <c r="B24" i="22"/>
  <c r="B22" i="22"/>
  <c r="B18" i="22"/>
  <c r="B16" i="22"/>
  <c r="B26" i="22"/>
  <c r="B35" i="22"/>
  <c r="B33" i="22"/>
  <c r="C36" i="22"/>
  <c r="B36" i="22"/>
  <c r="B34" i="22"/>
  <c r="B32" i="22"/>
  <c r="B31" i="22"/>
  <c r="B29" i="22"/>
  <c r="B30" i="22"/>
  <c r="B28" i="22"/>
  <c r="C13" i="22"/>
  <c r="C24" i="22"/>
  <c r="B49" i="29"/>
  <c r="B52" i="29"/>
  <c r="B48" i="29"/>
  <c r="C49" i="29"/>
  <c r="C48" i="29"/>
  <c r="C52" i="29"/>
  <c r="B51" i="29"/>
  <c r="B50" i="29"/>
  <c r="B47" i="29"/>
  <c r="C51" i="29"/>
  <c r="C50" i="29"/>
  <c r="C47" i="29"/>
  <c r="B44" i="34"/>
  <c r="B42" i="34"/>
  <c r="C43" i="34"/>
  <c r="C41" i="34"/>
  <c r="C42" i="34"/>
  <c r="B45" i="34"/>
  <c r="B46" i="34"/>
  <c r="B43" i="34"/>
  <c r="B41" i="34"/>
  <c r="C45" i="34"/>
  <c r="C46" i="34"/>
  <c r="B32" i="34"/>
  <c r="C32" i="34"/>
  <c r="B33" i="34"/>
  <c r="C33" i="34"/>
  <c r="B34" i="34"/>
  <c r="C34" i="34"/>
  <c r="B35" i="34"/>
  <c r="C35" i="34"/>
  <c r="B36" i="34"/>
  <c r="C36" i="34"/>
  <c r="B38" i="34"/>
  <c r="B39" i="34"/>
  <c r="C39" i="34"/>
  <c r="B40" i="34"/>
  <c r="C40" i="34"/>
  <c r="B10" i="34" l="1"/>
  <c r="B3" i="34"/>
  <c r="B2" i="34"/>
  <c r="D56" i="2" l="1"/>
  <c r="B56" i="2"/>
  <c r="B15" i="29"/>
  <c r="C31" i="34" l="1"/>
  <c r="B31" i="34"/>
  <c r="B17" i="34" l="1"/>
  <c r="B13" i="34"/>
  <c r="B30" i="34"/>
  <c r="B24" i="34"/>
  <c r="B16" i="34"/>
  <c r="B12" i="34"/>
  <c r="B29" i="34"/>
  <c r="B23" i="34"/>
  <c r="C16" i="34"/>
  <c r="C12" i="34"/>
  <c r="C29" i="34"/>
  <c r="C23" i="34"/>
  <c r="C18" i="34"/>
  <c r="C17" i="34"/>
  <c r="C13" i="34"/>
  <c r="C30" i="34"/>
  <c r="C24" i="34"/>
  <c r="B14" i="34"/>
  <c r="B27" i="34"/>
  <c r="B15" i="34"/>
  <c r="B11" i="34"/>
  <c r="B28" i="34"/>
  <c r="B19" i="34"/>
  <c r="B18" i="34"/>
  <c r="C14" i="34"/>
  <c r="C15" i="34"/>
  <c r="C28" i="34"/>
  <c r="C19" i="34"/>
  <c r="B44" i="33"/>
  <c r="C44" i="33"/>
  <c r="B37" i="29" l="1"/>
  <c r="C40" i="29"/>
  <c r="B38" i="29"/>
  <c r="B39" i="29"/>
  <c r="C38" i="29"/>
  <c r="C37" i="29"/>
  <c r="C39" i="29"/>
  <c r="B40" i="29"/>
  <c r="C114" i="18"/>
  <c r="B29" i="33"/>
  <c r="C36" i="31"/>
  <c r="C29" i="33"/>
  <c r="B36" i="31"/>
  <c r="B31" i="33"/>
  <c r="C31" i="33"/>
  <c r="C38" i="31"/>
  <c r="B38" i="31"/>
  <c r="B59" i="33" l="1"/>
  <c r="C57" i="33"/>
  <c r="B57" i="33"/>
  <c r="C56" i="33"/>
  <c r="B56" i="33"/>
  <c r="C54" i="33"/>
  <c r="B54" i="33"/>
  <c r="C53" i="33"/>
  <c r="B53" i="33"/>
  <c r="E51" i="33"/>
  <c r="C51" i="33"/>
  <c r="B51" i="33"/>
  <c r="C40" i="33"/>
  <c r="C30" i="33"/>
  <c r="B30" i="33"/>
  <c r="B10" i="33"/>
  <c r="B3" i="33"/>
  <c r="B2" i="33"/>
  <c r="B10" i="31"/>
  <c r="C10" i="31"/>
  <c r="B40" i="33" l="1"/>
  <c r="C41" i="33"/>
  <c r="B41" i="33"/>
  <c r="C43" i="33"/>
  <c r="B43" i="33"/>
  <c r="B126" i="31"/>
  <c r="C124" i="31"/>
  <c r="B124" i="31"/>
  <c r="C123" i="31"/>
  <c r="B123" i="31"/>
  <c r="C121" i="31"/>
  <c r="B121" i="31"/>
  <c r="C120" i="31"/>
  <c r="B120" i="31"/>
  <c r="E118" i="31"/>
  <c r="C118" i="31"/>
  <c r="B118" i="31"/>
  <c r="C37" i="31"/>
  <c r="B37" i="31"/>
  <c r="B3" i="31"/>
  <c r="B2" i="31"/>
  <c r="B126" i="30"/>
  <c r="C124" i="30"/>
  <c r="B124" i="30"/>
  <c r="C123" i="30"/>
  <c r="B123" i="30"/>
  <c r="C121" i="30"/>
  <c r="B121" i="30"/>
  <c r="C120" i="30"/>
  <c r="B120" i="30"/>
  <c r="E118" i="30"/>
  <c r="C118" i="30"/>
  <c r="B118" i="30"/>
  <c r="B10" i="30"/>
  <c r="B3" i="30"/>
  <c r="B2" i="30"/>
  <c r="B126" i="29" l="1"/>
  <c r="C124" i="29"/>
  <c r="B124" i="29"/>
  <c r="C123" i="29"/>
  <c r="B123" i="29"/>
  <c r="C121" i="29"/>
  <c r="B121" i="29"/>
  <c r="C120" i="29"/>
  <c r="B120" i="29"/>
  <c r="E118" i="29"/>
  <c r="C118" i="29"/>
  <c r="B118" i="29"/>
  <c r="C10" i="29"/>
  <c r="B10" i="29"/>
  <c r="B3" i="29"/>
  <c r="B2" i="29"/>
  <c r="D35" i="2" l="1"/>
  <c r="D36" i="2"/>
  <c r="D40" i="2"/>
  <c r="B53" i="2"/>
  <c r="B55" i="2"/>
  <c r="B29" i="2"/>
  <c r="B30" i="2"/>
  <c r="D30" i="2"/>
  <c r="B14" i="29" l="1"/>
  <c r="B41" i="2"/>
  <c r="B12" i="29"/>
  <c r="C14" i="29"/>
  <c r="D41" i="2"/>
  <c r="C12" i="29"/>
  <c r="B38" i="2"/>
  <c r="B11" i="29"/>
  <c r="D51" i="2"/>
  <c r="C13" i="29"/>
  <c r="D38" i="2"/>
  <c r="B51" i="2"/>
  <c r="B13" i="29"/>
  <c r="B13" i="33"/>
  <c r="B52" i="2"/>
  <c r="B37" i="2"/>
  <c r="B36" i="2"/>
  <c r="B14" i="33"/>
  <c r="B54" i="2"/>
  <c r="B40" i="2"/>
  <c r="B32" i="2"/>
  <c r="D33" i="2"/>
  <c r="B31" i="2"/>
  <c r="C11" i="33"/>
  <c r="D39" i="2"/>
  <c r="D32" i="2"/>
  <c r="B33" i="2"/>
  <c r="C12" i="33"/>
  <c r="B50" i="2"/>
  <c r="B35" i="2"/>
  <c r="C13" i="33"/>
  <c r="D52" i="2"/>
  <c r="B11" i="33"/>
  <c r="B39" i="2"/>
  <c r="C14" i="33"/>
  <c r="D54" i="2"/>
  <c r="B12" i="33"/>
  <c r="B34" i="2"/>
  <c r="B15" i="33"/>
  <c r="B15" i="30"/>
  <c r="B12" i="30"/>
  <c r="B12" i="31"/>
  <c r="C11" i="31"/>
  <c r="C12" i="31"/>
  <c r="C12" i="30"/>
  <c r="B13" i="30"/>
  <c r="B13" i="31"/>
  <c r="B11" i="31"/>
  <c r="B11" i="30"/>
  <c r="C14" i="31"/>
  <c r="C14" i="30"/>
  <c r="C13" i="30"/>
  <c r="C13" i="31"/>
  <c r="B14" i="31"/>
  <c r="B14" i="30"/>
  <c r="B40" i="27"/>
  <c r="B23" i="29"/>
  <c r="C23" i="29"/>
  <c r="C40" i="27" l="1"/>
  <c r="B45" i="29"/>
  <c r="B44" i="29"/>
  <c r="B32" i="29"/>
  <c r="C44" i="29"/>
  <c r="C49" i="27"/>
  <c r="C32" i="29"/>
  <c r="C45" i="29"/>
  <c r="B49" i="27"/>
  <c r="C43" i="29"/>
  <c r="C22" i="29"/>
  <c r="C34" i="29"/>
  <c r="B43" i="29"/>
  <c r="B46" i="29"/>
  <c r="C46" i="29"/>
  <c r="B42" i="29"/>
  <c r="B41" i="29"/>
  <c r="B35" i="29"/>
  <c r="B51" i="27"/>
  <c r="B36" i="29"/>
  <c r="B22" i="29"/>
  <c r="C51" i="27"/>
  <c r="C36" i="29"/>
  <c r="C42" i="29"/>
  <c r="C41" i="29"/>
  <c r="C35" i="29"/>
  <c r="B34" i="29"/>
  <c r="B39" i="33"/>
  <c r="C45" i="31"/>
  <c r="C35" i="33"/>
  <c r="C41" i="31"/>
  <c r="C28" i="33"/>
  <c r="C22" i="31"/>
  <c r="B38" i="33"/>
  <c r="B37" i="33"/>
  <c r="B43" i="31"/>
  <c r="B33" i="33"/>
  <c r="B32" i="33"/>
  <c r="B26" i="33"/>
  <c r="B32" i="31"/>
  <c r="B28" i="33"/>
  <c r="B34" i="31"/>
  <c r="B24" i="33"/>
  <c r="B21" i="31"/>
  <c r="C39" i="33"/>
  <c r="C34" i="31"/>
  <c r="C24" i="33"/>
  <c r="C21" i="31"/>
  <c r="B42" i="33"/>
  <c r="B44" i="31"/>
  <c r="B34" i="33"/>
  <c r="B39" i="31"/>
  <c r="B27" i="33"/>
  <c r="B23" i="33"/>
  <c r="C42" i="33"/>
  <c r="C38" i="33"/>
  <c r="C40" i="31"/>
  <c r="C33" i="31"/>
  <c r="C23" i="33"/>
  <c r="C33" i="33"/>
  <c r="C32" i="33"/>
  <c r="C26" i="33"/>
  <c r="C32" i="31"/>
  <c r="B22" i="31"/>
  <c r="B40" i="31"/>
  <c r="B33" i="31"/>
  <c r="C44" i="31"/>
  <c r="C34" i="33"/>
  <c r="C39" i="31"/>
  <c r="C27" i="33"/>
  <c r="C22" i="33"/>
  <c r="C43" i="31"/>
  <c r="B36" i="33"/>
  <c r="B42" i="31"/>
  <c r="B25" i="33"/>
  <c r="B23" i="31"/>
  <c r="B45" i="31"/>
  <c r="B35" i="33"/>
  <c r="B41" i="31"/>
  <c r="B22" i="33"/>
  <c r="C37" i="33"/>
  <c r="B35" i="31"/>
  <c r="C36" i="33"/>
  <c r="C42" i="31"/>
  <c r="C35" i="31"/>
  <c r="C25" i="33"/>
  <c r="C23" i="31"/>
  <c r="B58" i="2"/>
  <c r="B60" i="2"/>
  <c r="B61" i="2"/>
  <c r="B64" i="2"/>
  <c r="D57" i="2"/>
  <c r="D61" i="2"/>
  <c r="D64" i="2"/>
  <c r="C53" i="29" l="1"/>
  <c r="C45" i="33"/>
  <c r="C46" i="33"/>
  <c r="B53" i="29"/>
  <c r="B45" i="33"/>
  <c r="B46" i="33"/>
  <c r="B17" i="29"/>
  <c r="D63" i="2"/>
  <c r="C16" i="29"/>
  <c r="B18" i="29"/>
  <c r="C18" i="29"/>
  <c r="D55" i="2"/>
  <c r="C15" i="29"/>
  <c r="B63" i="2"/>
  <c r="B16" i="29"/>
  <c r="C17" i="29"/>
  <c r="B34" i="27"/>
  <c r="C34" i="27"/>
  <c r="C15" i="31"/>
  <c r="C17" i="33"/>
  <c r="B57" i="2"/>
  <c r="B16" i="33"/>
  <c r="B17" i="33"/>
  <c r="C16" i="33"/>
  <c r="B15" i="31"/>
  <c r="C18" i="33"/>
  <c r="C17" i="31"/>
  <c r="B18" i="33"/>
  <c r="B17" i="31"/>
  <c r="B16" i="31"/>
  <c r="C15" i="33"/>
  <c r="C15" i="30"/>
  <c r="B19" i="33"/>
  <c r="B18" i="31"/>
  <c r="C16" i="31"/>
  <c r="C19" i="33"/>
  <c r="C18" i="31"/>
  <c r="B3" i="28"/>
  <c r="B2" i="28"/>
  <c r="B9" i="28"/>
  <c r="B5" i="28"/>
  <c r="B178" i="2" l="1"/>
  <c r="B57" i="22"/>
  <c r="B121" i="27"/>
  <c r="B121" i="19"/>
  <c r="A28" i="2" l="1"/>
  <c r="A17" i="2"/>
  <c r="A18" i="2"/>
  <c r="B95" i="9" l="1"/>
  <c r="B159" i="9"/>
  <c r="B119" i="9"/>
  <c r="B30" i="9"/>
  <c r="B32" i="9"/>
  <c r="B36" i="9"/>
  <c r="B33" i="9"/>
  <c r="B31" i="9"/>
  <c r="B34" i="9"/>
  <c r="B37" i="9"/>
  <c r="B35" i="9"/>
  <c r="B126" i="9"/>
  <c r="B127" i="9"/>
  <c r="B128" i="9"/>
  <c r="G18" i="2"/>
  <c r="G17" i="2"/>
  <c r="B5" i="8"/>
  <c r="B4" i="8"/>
  <c r="B3" i="8"/>
  <c r="B2" i="8"/>
  <c r="B1" i="8"/>
  <c r="A16" i="9"/>
  <c r="C10" i="9"/>
  <c r="C8" i="9"/>
  <c r="C7" i="9"/>
  <c r="C6" i="9"/>
  <c r="C5" i="9"/>
  <c r="C4" i="9"/>
  <c r="C12" i="2"/>
  <c r="C10" i="2"/>
  <c r="C9" i="2"/>
  <c r="C7" i="2"/>
  <c r="C1" i="2"/>
  <c r="C3" i="9"/>
  <c r="C2" i="9"/>
  <c r="C1" i="9"/>
  <c r="C60" i="22"/>
  <c r="B60" i="22"/>
  <c r="C59" i="22"/>
  <c r="B59" i="22"/>
  <c r="C57" i="22"/>
  <c r="C56" i="22"/>
  <c r="B56" i="22"/>
  <c r="E54" i="22"/>
  <c r="C54" i="22"/>
  <c r="B54" i="22"/>
  <c r="B3" i="22"/>
  <c r="A3" i="22"/>
  <c r="B2" i="22"/>
  <c r="B3" i="27"/>
  <c r="A3" i="27"/>
  <c r="B2" i="27"/>
  <c r="B3" i="19"/>
  <c r="A3" i="19"/>
  <c r="B2" i="19"/>
  <c r="B126" i="27"/>
  <c r="C124" i="27"/>
  <c r="B124" i="27"/>
  <c r="C123" i="27"/>
  <c r="B123" i="27"/>
  <c r="C121" i="27"/>
  <c r="C120" i="27"/>
  <c r="B120" i="27"/>
  <c r="E118" i="27"/>
  <c r="C118" i="27"/>
  <c r="B118" i="27"/>
  <c r="C124" i="19"/>
  <c r="B124" i="19"/>
  <c r="C123" i="19"/>
  <c r="B123" i="19"/>
  <c r="C121" i="19"/>
  <c r="C120" i="19"/>
  <c r="B120" i="19"/>
  <c r="E118" i="19"/>
  <c r="C118" i="19"/>
  <c r="B118" i="19"/>
  <c r="B126" i="18"/>
  <c r="C118" i="18"/>
  <c r="C123" i="18"/>
  <c r="C121" i="18"/>
  <c r="C120" i="18"/>
  <c r="E118" i="18"/>
  <c r="B3" i="18"/>
  <c r="B2" i="18"/>
  <c r="E107" i="2" l="1"/>
  <c r="E171" i="2"/>
  <c r="E160" i="2"/>
  <c r="E143" i="2"/>
  <c r="E141" i="2"/>
  <c r="E147" i="2"/>
  <c r="E152" i="2"/>
  <c r="E166" i="2"/>
  <c r="E164" i="2"/>
  <c r="E139" i="2"/>
  <c r="E145" i="2"/>
  <c r="E157" i="2"/>
  <c r="E155" i="2"/>
  <c r="E170" i="2"/>
  <c r="E137" i="2"/>
  <c r="E148" i="2"/>
  <c r="E162" i="2"/>
  <c r="E168" i="2"/>
  <c r="E149" i="2"/>
  <c r="E142" i="2"/>
  <c r="E140" i="2"/>
  <c r="E153" i="2"/>
  <c r="E159" i="2"/>
  <c r="E169" i="2"/>
  <c r="E165" i="2"/>
  <c r="E158" i="2"/>
  <c r="E146" i="2"/>
  <c r="E151" i="2"/>
  <c r="E136" i="2"/>
  <c r="E156" i="2"/>
  <c r="E163" i="2"/>
  <c r="E138" i="2"/>
  <c r="E144" i="2"/>
  <c r="E154" i="2"/>
  <c r="E131" i="2"/>
  <c r="E38" i="2"/>
  <c r="E49" i="2"/>
  <c r="E43" i="2"/>
  <c r="E48" i="2"/>
  <c r="E47" i="2"/>
  <c r="E42" i="2"/>
  <c r="E46" i="2"/>
  <c r="E45" i="2"/>
  <c r="E44" i="2"/>
  <c r="E120" i="2"/>
  <c r="E129" i="2"/>
  <c r="E123" i="2"/>
  <c r="E118" i="2"/>
  <c r="E106" i="2"/>
  <c r="E101" i="2"/>
  <c r="E100" i="2"/>
  <c r="E109" i="2"/>
  <c r="E93" i="2"/>
  <c r="E116" i="2"/>
  <c r="E74" i="2"/>
  <c r="E80" i="2"/>
  <c r="E91" i="2"/>
  <c r="E76" i="2"/>
  <c r="E133" i="2"/>
  <c r="E102" i="2"/>
  <c r="E112" i="2"/>
  <c r="E97" i="2"/>
  <c r="E121" i="2"/>
  <c r="E86" i="2"/>
  <c r="E108" i="2"/>
  <c r="E83" i="2"/>
  <c r="E126" i="2"/>
  <c r="E125" i="2"/>
  <c r="E98" i="2"/>
  <c r="E96" i="2"/>
  <c r="E73" i="2"/>
  <c r="E115" i="2"/>
  <c r="E117" i="2"/>
  <c r="E111" i="2"/>
  <c r="E94" i="2"/>
  <c r="E104" i="2"/>
  <c r="E119" i="2"/>
  <c r="E81" i="2"/>
  <c r="E92" i="2"/>
  <c r="E77" i="2"/>
  <c r="E105" i="2"/>
  <c r="E79" i="2"/>
  <c r="E95" i="2"/>
  <c r="E114" i="2"/>
  <c r="E90" i="2"/>
  <c r="E110" i="2"/>
  <c r="E85" i="2"/>
  <c r="E99" i="2"/>
  <c r="E84" i="2"/>
  <c r="E130" i="2"/>
  <c r="E122" i="2"/>
  <c r="E88" i="2"/>
  <c r="E124" i="2"/>
  <c r="E127" i="2"/>
  <c r="E68" i="2"/>
  <c r="E65" i="2"/>
  <c r="E66" i="2"/>
  <c r="E59" i="2"/>
  <c r="E70" i="2"/>
  <c r="E71" i="2"/>
  <c r="E69" i="2"/>
  <c r="E32" i="2"/>
  <c r="E61" i="2"/>
  <c r="E51" i="2"/>
  <c r="E40" i="2"/>
  <c r="E57" i="2"/>
  <c r="E30" i="2"/>
  <c r="E56" i="2"/>
  <c r="E64" i="2"/>
  <c r="E33" i="2"/>
  <c r="E39" i="2"/>
  <c r="E41" i="2"/>
  <c r="E54" i="2"/>
  <c r="E55" i="2"/>
  <c r="E36" i="2"/>
  <c r="E63" i="2"/>
  <c r="E52" i="2"/>
  <c r="E62" i="2"/>
  <c r="E35" i="2"/>
  <c r="D35" i="15"/>
  <c r="C35" i="15"/>
  <c r="B321" i="12"/>
  <c r="B325" i="12" s="1"/>
  <c r="B314" i="12"/>
  <c r="B315" i="12" s="1"/>
  <c r="B295" i="12"/>
  <c r="B307" i="12" s="1"/>
  <c r="B289" i="12"/>
  <c r="B293" i="12" s="1"/>
  <c r="B282" i="12"/>
  <c r="B283" i="12" s="1"/>
  <c r="B275" i="12"/>
  <c r="B267" i="12"/>
  <c r="B271" i="12" s="1"/>
  <c r="B258" i="12"/>
  <c r="B263" i="12" s="1"/>
  <c r="B253" i="12"/>
  <c r="B254" i="12" s="1"/>
  <c r="B246" i="12"/>
  <c r="B250" i="12" s="1"/>
  <c r="B239" i="12"/>
  <c r="B240" i="12" s="1"/>
  <c r="B224" i="12"/>
  <c r="B232" i="12" s="1"/>
  <c r="B216" i="12"/>
  <c r="B221" i="12" s="1"/>
  <c r="B187" i="12"/>
  <c r="B209" i="12" s="1"/>
  <c r="B175" i="12"/>
  <c r="B163" i="12"/>
  <c r="B164" i="12" s="1"/>
  <c r="B148" i="12"/>
  <c r="B160" i="12" s="1"/>
  <c r="B143" i="12"/>
  <c r="B144" i="12" s="1"/>
  <c r="B136" i="12"/>
  <c r="B126" i="12"/>
  <c r="B139" i="12" s="1"/>
  <c r="B117" i="12"/>
  <c r="B122" i="12" s="1"/>
  <c r="B109" i="12"/>
  <c r="B113" i="12" s="1"/>
  <c r="B99" i="12"/>
  <c r="B103" i="12" s="1"/>
  <c r="B92" i="12"/>
  <c r="B96" i="12" s="1"/>
  <c r="B85" i="12"/>
  <c r="B86" i="12" s="1"/>
  <c r="B78" i="12"/>
  <c r="B60" i="12"/>
  <c r="B75" i="12" s="1"/>
  <c r="B47" i="12"/>
  <c r="B57" i="12" s="1"/>
  <c r="B31" i="12"/>
  <c r="B45" i="12" s="1"/>
  <c r="B19" i="12"/>
  <c r="B13" i="12"/>
  <c r="B14" i="12" s="1"/>
  <c r="B3" i="12"/>
  <c r="B11" i="12" s="1"/>
  <c r="B133" i="12" l="1"/>
  <c r="B95" i="12"/>
  <c r="B123" i="12"/>
  <c r="B40" i="12"/>
  <c r="B65" i="12"/>
  <c r="B114" i="12"/>
  <c r="B104" i="12"/>
  <c r="B285" i="12"/>
  <c r="B64" i="12"/>
  <c r="B324" i="12"/>
  <c r="B227" i="12"/>
  <c r="B284" i="12"/>
  <c r="B193" i="12"/>
  <c r="B33" i="12"/>
  <c r="B93" i="12"/>
  <c r="B100" i="12"/>
  <c r="B110" i="12"/>
  <c r="B119" i="12"/>
  <c r="B129" i="12"/>
  <c r="B138" i="12"/>
  <c r="B169" i="12"/>
  <c r="B189" i="12"/>
  <c r="B199" i="12"/>
  <c r="B211" i="12"/>
  <c r="B291" i="12"/>
  <c r="B300" i="12"/>
  <c r="B317" i="12"/>
  <c r="B204" i="12"/>
  <c r="B312" i="12"/>
  <c r="B43" i="12"/>
  <c r="B145" i="12"/>
  <c r="B167" i="12"/>
  <c r="B188" i="12"/>
  <c r="B197" i="12"/>
  <c r="B205" i="12"/>
  <c r="B219" i="12"/>
  <c r="B299" i="12"/>
  <c r="B35" i="12"/>
  <c r="B94" i="12"/>
  <c r="B120" i="12"/>
  <c r="B130" i="12"/>
  <c r="B156" i="12"/>
  <c r="B190" i="12"/>
  <c r="B201" i="12"/>
  <c r="B213" i="12"/>
  <c r="B292" i="12"/>
  <c r="B308" i="12"/>
  <c r="B53" i="12"/>
  <c r="B6" i="12"/>
  <c r="B87" i="12"/>
  <c r="B157" i="12"/>
  <c r="B229" i="12"/>
  <c r="B37" i="12"/>
  <c r="B44" i="12"/>
  <c r="B49" i="12"/>
  <c r="B56" i="12"/>
  <c r="B88" i="12"/>
  <c r="B150" i="12"/>
  <c r="B225" i="12"/>
  <c r="B230" i="12"/>
  <c r="B241" i="12"/>
  <c r="B248" i="12"/>
  <c r="B260" i="12"/>
  <c r="B304" i="12"/>
  <c r="B322" i="12"/>
  <c r="B48" i="12"/>
  <c r="B54" i="12"/>
  <c r="B247" i="12"/>
  <c r="B7" i="12"/>
  <c r="B32" i="12"/>
  <c r="B39" i="12"/>
  <c r="B50" i="12"/>
  <c r="B151" i="12"/>
  <c r="B192" i="12"/>
  <c r="B200" i="12"/>
  <c r="B207" i="12"/>
  <c r="B218" i="12"/>
  <c r="B226" i="12"/>
  <c r="B231" i="12"/>
  <c r="B242" i="12"/>
  <c r="B249" i="12"/>
  <c r="B261" i="12"/>
  <c r="B290" i="12"/>
  <c r="B296" i="12"/>
  <c r="B316" i="12"/>
  <c r="B323" i="12"/>
  <c r="B28" i="12"/>
  <c r="B24" i="12"/>
  <c r="B20" i="12"/>
  <c r="B25" i="12"/>
  <c r="B181" i="12"/>
  <c r="B177" i="12"/>
  <c r="B184" i="12"/>
  <c r="B180" i="12"/>
  <c r="B176" i="12"/>
  <c r="B183" i="12"/>
  <c r="B21" i="12"/>
  <c r="B26" i="12"/>
  <c r="B80" i="12"/>
  <c r="B79" i="12"/>
  <c r="B178" i="12"/>
  <c r="B277" i="12"/>
  <c r="B276" i="12"/>
  <c r="B9" i="12"/>
  <c r="B5" i="12"/>
  <c r="B8" i="12"/>
  <c r="B15" i="12"/>
  <c r="B22" i="12"/>
  <c r="B27" i="12"/>
  <c r="B74" i="12"/>
  <c r="B67" i="12"/>
  <c r="B63" i="12"/>
  <c r="B72" i="12"/>
  <c r="B66" i="12"/>
  <c r="B62" i="12"/>
  <c r="B68" i="12"/>
  <c r="B81" i="12"/>
  <c r="B179" i="12"/>
  <c r="B270" i="12"/>
  <c r="B269" i="12"/>
  <c r="B278" i="12"/>
  <c r="B4" i="12"/>
  <c r="B10" i="12"/>
  <c r="B16" i="12"/>
  <c r="B23" i="12"/>
  <c r="B42" i="12"/>
  <c r="B38" i="12"/>
  <c r="B34" i="12"/>
  <c r="B36" i="12"/>
  <c r="B41" i="12"/>
  <c r="B61" i="12"/>
  <c r="B71" i="12"/>
  <c r="B82" i="12"/>
  <c r="B106" i="12"/>
  <c r="B102" i="12"/>
  <c r="B105" i="12"/>
  <c r="B101" i="12"/>
  <c r="B112" i="12"/>
  <c r="B111" i="12"/>
  <c r="B137" i="12"/>
  <c r="B132" i="12"/>
  <c r="B128" i="12"/>
  <c r="B140" i="12"/>
  <c r="B131" i="12"/>
  <c r="B127" i="12"/>
  <c r="B134" i="12"/>
  <c r="B171" i="12"/>
  <c r="B166" i="12"/>
  <c r="B170" i="12"/>
  <c r="B165" i="12"/>
  <c r="B172" i="12"/>
  <c r="B182" i="12"/>
  <c r="B268" i="12"/>
  <c r="B279" i="12"/>
  <c r="B310" i="12"/>
  <c r="B306" i="12"/>
  <c r="B302" i="12"/>
  <c r="B298" i="12"/>
  <c r="B309" i="12"/>
  <c r="B305" i="12"/>
  <c r="B301" i="12"/>
  <c r="B297" i="12"/>
  <c r="B303" i="12"/>
  <c r="B311" i="12"/>
  <c r="B89" i="12"/>
  <c r="B121" i="12"/>
  <c r="B153" i="12"/>
  <c r="B158" i="12"/>
  <c r="B220" i="12"/>
  <c r="B243" i="12"/>
  <c r="B262" i="12"/>
  <c r="B286" i="12"/>
  <c r="B318" i="12"/>
  <c r="B52" i="12"/>
  <c r="B118" i="12"/>
  <c r="B149" i="12"/>
  <c r="B154" i="12"/>
  <c r="B191" i="12"/>
  <c r="B198" i="12"/>
  <c r="B203" i="12"/>
  <c r="B217" i="12"/>
  <c r="B228" i="12"/>
  <c r="B259" i="12"/>
  <c r="B12" i="18" l="1"/>
  <c r="C12" i="18"/>
  <c r="C11" i="30" l="1"/>
  <c r="C11" i="29"/>
  <c r="B19" i="29"/>
  <c r="B20" i="29"/>
  <c r="B19" i="31"/>
  <c r="C20" i="29"/>
  <c r="C19" i="31"/>
  <c r="C19" i="29"/>
  <c r="C20" i="31"/>
  <c r="B20" i="31"/>
  <c r="B21" i="33"/>
  <c r="C21" i="33"/>
  <c r="B20" i="33"/>
  <c r="C20" i="33"/>
  <c r="B136" i="9" l="1"/>
  <c r="B148" i="9"/>
  <c r="B152" i="9"/>
  <c r="B145" i="9"/>
  <c r="B156" i="9"/>
  <c r="B158" i="9"/>
  <c r="B157" i="9"/>
  <c r="B154" i="9"/>
  <c r="B139" i="9"/>
  <c r="B144" i="9"/>
  <c r="B143" i="9"/>
  <c r="B151" i="9"/>
  <c r="B155" i="9"/>
  <c r="B147" i="9"/>
  <c r="B146" i="9"/>
  <c r="B138" i="9"/>
  <c r="B150" i="9"/>
  <c r="B135" i="9"/>
  <c r="B141" i="9"/>
  <c r="B153" i="9"/>
  <c r="B140" i="9"/>
  <c r="B137" i="9"/>
  <c r="B149" i="9"/>
  <c r="B142" i="9"/>
  <c r="B134" i="9"/>
  <c r="B107" i="9"/>
  <c r="B84" i="9"/>
  <c r="B110" i="9"/>
  <c r="B63" i="9"/>
  <c r="B75" i="9"/>
  <c r="B60" i="9"/>
  <c r="B96" i="9"/>
  <c r="B65" i="9"/>
  <c r="B104" i="9"/>
  <c r="B86" i="9"/>
  <c r="B111" i="9"/>
  <c r="B114" i="9"/>
  <c r="B101" i="9"/>
  <c r="B100" i="9"/>
  <c r="B91" i="9"/>
  <c r="B93" i="9"/>
  <c r="B89" i="9"/>
  <c r="B115" i="9"/>
  <c r="B109" i="9"/>
  <c r="B108" i="9"/>
  <c r="B79" i="9"/>
  <c r="B94" i="9"/>
  <c r="B97" i="9"/>
  <c r="B68" i="9"/>
  <c r="B81" i="9"/>
  <c r="B112" i="9"/>
  <c r="B118" i="9"/>
  <c r="B102" i="9"/>
  <c r="B85" i="9"/>
  <c r="B66" i="9"/>
  <c r="B113" i="9"/>
  <c r="B69" i="9"/>
  <c r="B61" i="9"/>
  <c r="B72" i="9"/>
  <c r="B103" i="9"/>
  <c r="B87" i="9"/>
  <c r="B76" i="9"/>
  <c r="B117" i="9"/>
  <c r="B67" i="9"/>
  <c r="B59" i="9"/>
  <c r="B70" i="9"/>
  <c r="B98" i="9"/>
  <c r="B116" i="9"/>
  <c r="B83" i="9"/>
  <c r="B64" i="9"/>
  <c r="B105" i="9"/>
  <c r="B62" i="9"/>
  <c r="B120" i="9"/>
  <c r="B78" i="9"/>
  <c r="B90" i="9"/>
  <c r="B71" i="9"/>
  <c r="B106" i="9"/>
  <c r="B80" i="9"/>
  <c r="B82" i="9"/>
  <c r="B99" i="9"/>
  <c r="B92" i="9"/>
  <c r="B77" i="9"/>
  <c r="B73" i="9"/>
  <c r="B88" i="9"/>
  <c r="B74" i="9"/>
  <c r="B121" i="9"/>
  <c r="B56" i="9"/>
  <c r="B54" i="9"/>
  <c r="B53" i="9"/>
  <c r="B50" i="9"/>
  <c r="B58" i="9"/>
  <c r="B44" i="9"/>
  <c r="B43" i="9"/>
  <c r="B41" i="9"/>
  <c r="B40" i="9"/>
  <c r="B42" i="9"/>
  <c r="B39" i="9"/>
  <c r="B38" i="9"/>
  <c r="B57" i="9"/>
  <c r="B52" i="9"/>
  <c r="B49" i="9"/>
  <c r="B48" i="9"/>
  <c r="B46" i="9"/>
  <c r="B51" i="9"/>
  <c r="B18" i="9"/>
  <c r="B28" i="9"/>
  <c r="B22" i="9"/>
  <c r="B29" i="9"/>
  <c r="B24" i="9"/>
  <c r="B21" i="9"/>
  <c r="B23" i="9"/>
  <c r="B17" i="9"/>
  <c r="B27" i="9"/>
  <c r="B19" i="9"/>
  <c r="B26" i="9"/>
  <c r="B25" i="9"/>
  <c r="B20" i="9"/>
  <c r="G16" i="2"/>
  <c r="E175" i="2" l="1"/>
  <c r="D18" i="2" l="1"/>
  <c r="B177" i="2" l="1"/>
  <c r="B180" i="2"/>
  <c r="B175" i="2"/>
  <c r="B183" i="2" l="1"/>
  <c r="C53" i="27"/>
  <c r="B53" i="27"/>
  <c r="C52" i="27"/>
  <c r="B52" i="27"/>
  <c r="C50" i="27"/>
  <c r="B50" i="27"/>
  <c r="C48" i="27"/>
  <c r="B48" i="27"/>
  <c r="C47" i="27"/>
  <c r="B47" i="27"/>
  <c r="C46" i="27"/>
  <c r="B46" i="27"/>
  <c r="C45" i="27"/>
  <c r="B45" i="27"/>
  <c r="C44" i="27"/>
  <c r="B44" i="27"/>
  <c r="C43" i="27"/>
  <c r="B43" i="27"/>
  <c r="C42" i="27"/>
  <c r="B42" i="27"/>
  <c r="C41" i="27"/>
  <c r="B41" i="27"/>
  <c r="C39" i="27"/>
  <c r="C38" i="27"/>
  <c r="B38" i="27"/>
  <c r="C37" i="27"/>
  <c r="B37" i="27"/>
  <c r="C36" i="27"/>
  <c r="B36" i="27"/>
  <c r="C35" i="27"/>
  <c r="B35" i="27"/>
  <c r="C33" i="27"/>
  <c r="B33" i="27"/>
  <c r="C32" i="27"/>
  <c r="B32"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B10" i="22" l="1"/>
  <c r="B11" i="19"/>
  <c r="C11" i="19"/>
  <c r="B10" i="19"/>
  <c r="C11" i="18"/>
  <c r="B11" i="18"/>
  <c r="B10" i="18" l="1"/>
  <c r="A35" i="15" l="1"/>
  <c r="A36" i="15" s="1"/>
  <c r="A37" i="15" s="1"/>
  <c r="A38" i="15" s="1"/>
  <c r="A39" i="15" s="1"/>
  <c r="A40" i="15" s="1"/>
  <c r="A41" i="15" s="1"/>
  <c r="A42" i="15" s="1"/>
  <c r="A43" i="15" s="1"/>
  <c r="A44" i="15" s="1"/>
  <c r="A45" i="15" s="1"/>
  <c r="A46" i="15" s="1"/>
  <c r="A47" i="15" s="1"/>
  <c r="A48" i="15" s="1"/>
  <c r="A49" i="15" l="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B28" i="2"/>
  <c r="A112" i="15" l="1"/>
  <c r="C6" i="25"/>
  <c r="B16" i="9"/>
  <c r="A113" i="15" l="1"/>
  <c r="A114" i="15" s="1"/>
  <c r="A115" i="15" s="1"/>
  <c r="B172" i="2"/>
  <c r="A116" i="15" l="1"/>
  <c r="A117" i="15" s="1"/>
  <c r="B7" i="25"/>
  <c r="A49" i="25" s="1"/>
  <c r="G1" i="5"/>
  <c r="G1" i="4"/>
  <c r="A118" i="15" l="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C11" i="8"/>
  <c r="A546" i="11" l="1"/>
  <c r="A297" i="11" l="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30" i="26" l="1"/>
  <c r="E11" i="26"/>
  <c r="G15" i="9"/>
  <c r="H15" i="9" s="1"/>
  <c r="I15" i="9" s="1"/>
  <c r="J15" i="9" s="1"/>
  <c r="K15" i="9" s="1"/>
  <c r="L15" i="9" s="1"/>
  <c r="M15" i="9" s="1"/>
  <c r="N15" i="9" s="1"/>
  <c r="O15" i="9" s="1"/>
  <c r="P15" i="9" s="1"/>
  <c r="Q15" i="9" s="1"/>
  <c r="R15" i="9" s="1"/>
  <c r="S15" i="9" s="1"/>
  <c r="T15" i="9" s="1"/>
  <c r="U15" i="9" s="1"/>
  <c r="V15" i="9" s="1"/>
  <c r="W15" i="9" s="1"/>
  <c r="B28" i="25" l="1"/>
  <c r="B29" i="25"/>
  <c r="C36" i="8"/>
  <c r="D38" i="8" l="1"/>
  <c r="D42" i="8"/>
  <c r="D46" i="8"/>
  <c r="D39" i="8"/>
  <c r="D43" i="8"/>
  <c r="D47" i="8"/>
  <c r="D37" i="8"/>
  <c r="D40" i="8"/>
  <c r="D44" i="8"/>
  <c r="D48" i="8"/>
  <c r="D41" i="8"/>
  <c r="D45" i="8"/>
  <c r="D49" i="8"/>
  <c r="D50" i="8"/>
  <c r="D28" i="8"/>
  <c r="D26" i="8"/>
  <c r="D25" i="8"/>
  <c r="D27" i="8"/>
  <c r="D13" i="8"/>
  <c r="D21" i="8"/>
  <c r="D31" i="8"/>
  <c r="D12" i="8"/>
  <c r="D16" i="8"/>
  <c r="D18" i="8"/>
  <c r="D20" i="8"/>
  <c r="D24" i="8"/>
  <c r="D30" i="8"/>
  <c r="D34" i="8"/>
  <c r="D14" i="8"/>
  <c r="D22" i="8"/>
  <c r="D32" i="8"/>
  <c r="D15" i="8"/>
  <c r="D17" i="8"/>
  <c r="D19" i="8"/>
  <c r="D23" i="8"/>
  <c r="D29" i="8"/>
  <c r="D33" i="8"/>
  <c r="C52" i="8"/>
  <c r="E28" i="8" l="1"/>
  <c r="E26" i="8"/>
  <c r="E27" i="8"/>
  <c r="E25" i="8"/>
  <c r="E38" i="8"/>
  <c r="E40" i="8"/>
  <c r="E42" i="8"/>
  <c r="E44" i="8"/>
  <c r="E46" i="8"/>
  <c r="E48" i="8"/>
  <c r="E50" i="8"/>
  <c r="E13" i="8"/>
  <c r="E15" i="8"/>
  <c r="E17" i="8"/>
  <c r="E19" i="8"/>
  <c r="E21" i="8"/>
  <c r="E23" i="8"/>
  <c r="E29" i="8"/>
  <c r="E31" i="8"/>
  <c r="E33" i="8"/>
  <c r="E39" i="8"/>
  <c r="E41" i="8"/>
  <c r="E43" i="8"/>
  <c r="E45" i="8"/>
  <c r="E47" i="8"/>
  <c r="E49" i="8"/>
  <c r="E37" i="8"/>
  <c r="E14" i="8"/>
  <c r="E16" i="8"/>
  <c r="E18" i="8"/>
  <c r="E20" i="8"/>
  <c r="E22" i="8"/>
  <c r="E24" i="8"/>
  <c r="E30" i="8"/>
  <c r="E32" i="8"/>
  <c r="E34" i="8"/>
  <c r="E12" i="8"/>
  <c r="D11" i="8"/>
  <c r="E52" i="8" l="1"/>
  <c r="D36" i="8" l="1"/>
  <c r="E10" i="31" l="1"/>
  <c r="F10" i="31" s="1"/>
  <c r="E10" i="29"/>
  <c r="F10" i="29" s="1"/>
  <c r="E10" i="27"/>
  <c r="F10" i="27" s="1"/>
  <c r="F32" i="2" l="1"/>
  <c r="F33" i="2"/>
  <c r="F35" i="2"/>
  <c r="F36" i="2"/>
  <c r="F38" i="2"/>
  <c r="F39" i="2"/>
  <c r="F40" i="2"/>
  <c r="F41" i="2"/>
  <c r="G35" i="2"/>
  <c r="G32" i="2"/>
  <c r="G39" i="2"/>
  <c r="G41" i="2"/>
  <c r="G38" i="2"/>
  <c r="G40" i="2"/>
  <c r="G36" i="2"/>
  <c r="G33" i="2"/>
  <c r="E20" i="30" l="1"/>
  <c r="F20" i="30" s="1"/>
  <c r="E23" i="30"/>
  <c r="F23" i="30" s="1"/>
  <c r="E18" i="30"/>
  <c r="F18" i="30" s="1"/>
  <c r="E22" i="30"/>
  <c r="F22" i="30" s="1"/>
  <c r="E17" i="30"/>
  <c r="F17" i="30" s="1"/>
  <c r="E21" i="30"/>
  <c r="F21" i="30" s="1"/>
  <c r="E18" i="19"/>
  <c r="F18" i="19" s="1"/>
  <c r="E20" i="19"/>
  <c r="F20" i="19" s="1"/>
  <c r="E14" i="19"/>
  <c r="F14" i="19" s="1"/>
  <c r="E17" i="19"/>
  <c r="F17" i="19" s="1"/>
  <c r="E21" i="19"/>
  <c r="F21" i="19" s="1"/>
  <c r="E23" i="19"/>
  <c r="F23" i="19" s="1"/>
  <c r="E15" i="19"/>
  <c r="F15" i="19" s="1"/>
  <c r="E22" i="19"/>
  <c r="F22" i="19" s="1"/>
  <c r="H38" i="2"/>
  <c r="H40" i="2"/>
  <c r="H36" i="2"/>
  <c r="H33" i="2"/>
  <c r="H41" i="2"/>
  <c r="H39" i="2"/>
  <c r="H35" i="2"/>
  <c r="H32" i="2"/>
  <c r="B45" i="9"/>
  <c r="B47" i="9" l="1"/>
  <c r="B55" i="9"/>
  <c r="F30" i="2" l="1"/>
  <c r="G30" i="2"/>
  <c r="E12" i="19" l="1"/>
  <c r="F12" i="19" s="1"/>
  <c r="H30" i="2"/>
  <c r="E18" i="18" l="1"/>
  <c r="F18" i="18" s="1"/>
  <c r="E23" i="18"/>
  <c r="F23" i="18" s="1"/>
  <c r="E14" i="18"/>
  <c r="F14" i="18" s="1"/>
  <c r="E15" i="18"/>
  <c r="F15" i="18" s="1"/>
  <c r="E20" i="18"/>
  <c r="F20" i="18" s="1"/>
  <c r="E17" i="18"/>
  <c r="F17" i="18" s="1"/>
  <c r="E21" i="18"/>
  <c r="F21" i="18" s="1"/>
  <c r="E22" i="18"/>
  <c r="F22" i="18" s="1"/>
  <c r="C7" i="25"/>
  <c r="B49" i="25" s="1"/>
  <c r="G7" i="25"/>
  <c r="E23" i="29"/>
  <c r="F23" i="29" s="1"/>
  <c r="E23" i="27"/>
  <c r="F23" i="27" s="1"/>
  <c r="E22" i="29"/>
  <c r="F22" i="29" s="1"/>
  <c r="E22" i="27"/>
  <c r="F22" i="27" s="1"/>
  <c r="E21" i="29"/>
  <c r="F21" i="29" s="1"/>
  <c r="E21" i="27"/>
  <c r="F21" i="27" s="1"/>
  <c r="E20" i="27"/>
  <c r="F20" i="27" s="1"/>
  <c r="E20" i="29"/>
  <c r="F20" i="29" s="1"/>
  <c r="E18" i="27"/>
  <c r="F18" i="27" s="1"/>
  <c r="E18" i="29"/>
  <c r="F18" i="29" s="1"/>
  <c r="E17" i="29"/>
  <c r="F17" i="29" s="1"/>
  <c r="E17" i="27"/>
  <c r="F17" i="27" s="1"/>
  <c r="E15" i="30"/>
  <c r="F15" i="30" s="1"/>
  <c r="E15" i="29"/>
  <c r="F15" i="29" s="1"/>
  <c r="E15" i="27"/>
  <c r="F15" i="27" s="1"/>
  <c r="E14" i="30"/>
  <c r="F14" i="30" s="1"/>
  <c r="E14" i="27"/>
  <c r="F14" i="27" s="1"/>
  <c r="E14" i="29"/>
  <c r="F14" i="29" s="1"/>
  <c r="E12" i="30"/>
  <c r="F12" i="30" s="1"/>
  <c r="E12" i="29"/>
  <c r="F12" i="29" s="1"/>
  <c r="E12" i="18"/>
  <c r="F12" i="18" s="1"/>
  <c r="E12" i="27"/>
  <c r="F12" i="27" s="1"/>
  <c r="F74" i="2" l="1"/>
  <c r="F79" i="2"/>
  <c r="F84" i="2"/>
  <c r="F81" i="2"/>
  <c r="F73" i="2"/>
  <c r="F76" i="2"/>
  <c r="F77" i="2"/>
  <c r="F80" i="2"/>
  <c r="F83" i="2"/>
  <c r="F85" i="2"/>
  <c r="F69" i="2"/>
  <c r="F57" i="2"/>
  <c r="F66" i="2"/>
  <c r="F63" i="2"/>
  <c r="F59" i="2"/>
  <c r="F65" i="2"/>
  <c r="F62" i="2"/>
  <c r="F61" i="2"/>
  <c r="F64" i="2"/>
  <c r="F71" i="2"/>
  <c r="F70" i="2"/>
  <c r="F68" i="2"/>
  <c r="G73" i="2"/>
  <c r="G57" i="2"/>
  <c r="G61" i="2"/>
  <c r="G71" i="2"/>
  <c r="G80" i="2"/>
  <c r="G83" i="2"/>
  <c r="G85" i="2"/>
  <c r="G63" i="2"/>
  <c r="G76" i="2"/>
  <c r="G84" i="2"/>
  <c r="G70" i="2"/>
  <c r="G81" i="2"/>
  <c r="G65" i="2"/>
  <c r="G62" i="2"/>
  <c r="G64" i="2"/>
  <c r="G66" i="2"/>
  <c r="G69" i="2"/>
  <c r="G77" i="2"/>
  <c r="G74" i="2"/>
  <c r="G79" i="2"/>
  <c r="G59" i="2"/>
  <c r="G68" i="2"/>
  <c r="E63" i="31" l="1"/>
  <c r="F63" i="31" s="1"/>
  <c r="E53" i="31"/>
  <c r="F53" i="31" s="1"/>
  <c r="E59" i="31"/>
  <c r="F59" i="31" s="1"/>
  <c r="E48" i="31"/>
  <c r="F48" i="31" s="1"/>
  <c r="E46" i="31"/>
  <c r="F46" i="31" s="1"/>
  <c r="E58" i="31"/>
  <c r="F58" i="31" s="1"/>
  <c r="E61" i="31"/>
  <c r="F61" i="31" s="1"/>
  <c r="E65" i="31"/>
  <c r="F65" i="31" s="1"/>
  <c r="E55" i="31"/>
  <c r="F55" i="31" s="1"/>
  <c r="E47" i="31"/>
  <c r="F47" i="31" s="1"/>
  <c r="E62" i="31"/>
  <c r="F62" i="31" s="1"/>
  <c r="E56" i="31"/>
  <c r="F56" i="31" s="1"/>
  <c r="E63" i="30"/>
  <c r="F63" i="30" s="1"/>
  <c r="E63" i="27"/>
  <c r="F63" i="27" s="1"/>
  <c r="E63" i="29"/>
  <c r="F63" i="29" s="1"/>
  <c r="H81" i="2"/>
  <c r="E63" i="18"/>
  <c r="F63" i="18" s="1"/>
  <c r="E63" i="19"/>
  <c r="F63" i="19" s="1"/>
  <c r="H70" i="2"/>
  <c r="E53" i="19"/>
  <c r="F53" i="19" s="1"/>
  <c r="E53" i="30"/>
  <c r="F53" i="30" s="1"/>
  <c r="E53" i="29"/>
  <c r="F53" i="29" s="1"/>
  <c r="E53" i="27"/>
  <c r="F53" i="27" s="1"/>
  <c r="E53" i="18"/>
  <c r="F53" i="18" s="1"/>
  <c r="E41" i="30"/>
  <c r="F41" i="30" s="1"/>
  <c r="E41" i="19"/>
  <c r="F41" i="19" s="1"/>
  <c r="H59" i="2"/>
  <c r="E41" i="27"/>
  <c r="F41" i="27" s="1"/>
  <c r="E41" i="29"/>
  <c r="F41" i="29" s="1"/>
  <c r="E41" i="18"/>
  <c r="F41" i="18" s="1"/>
  <c r="E59" i="30"/>
  <c r="F59" i="30" s="1"/>
  <c r="E59" i="29"/>
  <c r="F59" i="29" s="1"/>
  <c r="E59" i="27"/>
  <c r="F59" i="27" s="1"/>
  <c r="H77" i="2"/>
  <c r="E59" i="19"/>
  <c r="F59" i="19" s="1"/>
  <c r="E59" i="18"/>
  <c r="F59" i="18" s="1"/>
  <c r="E45" i="19"/>
  <c r="F45" i="19" s="1"/>
  <c r="E45" i="30"/>
  <c r="F45" i="30" s="1"/>
  <c r="H63" i="2"/>
  <c r="E45" i="18"/>
  <c r="F45" i="18" s="1"/>
  <c r="E45" i="27"/>
  <c r="F45" i="27" s="1"/>
  <c r="E45" i="29"/>
  <c r="F45" i="29" s="1"/>
  <c r="E48" i="19"/>
  <c r="F48" i="19" s="1"/>
  <c r="H66" i="2"/>
  <c r="E48" i="30"/>
  <c r="F48" i="30" s="1"/>
  <c r="E48" i="27"/>
  <c r="F48" i="27" s="1"/>
  <c r="E48" i="29"/>
  <c r="F48" i="29" s="1"/>
  <c r="E48" i="18"/>
  <c r="F48" i="18" s="1"/>
  <c r="H62" i="2"/>
  <c r="E44" i="19"/>
  <c r="F44" i="19" s="1"/>
  <c r="E44" i="30"/>
  <c r="F44" i="30" s="1"/>
  <c r="E44" i="18"/>
  <c r="F44" i="18" s="1"/>
  <c r="E44" i="27"/>
  <c r="F44" i="27" s="1"/>
  <c r="E44" i="29"/>
  <c r="F44" i="29" s="1"/>
  <c r="H84" i="2"/>
  <c r="H71" i="2"/>
  <c r="E46" i="30"/>
  <c r="F46" i="30" s="1"/>
  <c r="H64" i="2"/>
  <c r="E46" i="19"/>
  <c r="F46" i="19" s="1"/>
  <c r="E46" i="27"/>
  <c r="F46" i="27" s="1"/>
  <c r="E46" i="29"/>
  <c r="F46" i="29" s="1"/>
  <c r="E46" i="18"/>
  <c r="F46" i="18" s="1"/>
  <c r="E39" i="30"/>
  <c r="F39" i="30" s="1"/>
  <c r="E39" i="19"/>
  <c r="F39" i="19" s="1"/>
  <c r="H57" i="2"/>
  <c r="E39" i="29"/>
  <c r="F39" i="29" s="1"/>
  <c r="E39" i="27"/>
  <c r="F39" i="27" s="1"/>
  <c r="E39" i="18"/>
  <c r="F39" i="18" s="1"/>
  <c r="H68" i="2"/>
  <c r="E58" i="30"/>
  <c r="F58" i="30" s="1"/>
  <c r="E58" i="29"/>
  <c r="F58" i="29" s="1"/>
  <c r="E58" i="27"/>
  <c r="F58" i="27" s="1"/>
  <c r="H76" i="2"/>
  <c r="E58" i="19"/>
  <c r="F58" i="19" s="1"/>
  <c r="E58" i="18"/>
  <c r="F58" i="18" s="1"/>
  <c r="H69" i="2"/>
  <c r="E67" i="18"/>
  <c r="F67" i="18" s="1"/>
  <c r="H85" i="2"/>
  <c r="E61" i="30"/>
  <c r="F61" i="30" s="1"/>
  <c r="E61" i="29"/>
  <c r="F61" i="29" s="1"/>
  <c r="E61" i="27"/>
  <c r="F61" i="27" s="1"/>
  <c r="H79" i="2"/>
  <c r="E61" i="19"/>
  <c r="F61" i="19" s="1"/>
  <c r="E61" i="18"/>
  <c r="F61" i="18" s="1"/>
  <c r="E43" i="19"/>
  <c r="F43" i="19" s="1"/>
  <c r="H61" i="2"/>
  <c r="E43" i="30"/>
  <c r="F43" i="30" s="1"/>
  <c r="E43" i="29"/>
  <c r="F43" i="29" s="1"/>
  <c r="E43" i="18"/>
  <c r="F43" i="18" s="1"/>
  <c r="E43" i="27"/>
  <c r="F43" i="27" s="1"/>
  <c r="E65" i="30"/>
  <c r="F65" i="30" s="1"/>
  <c r="E65" i="27"/>
  <c r="F65" i="27" s="1"/>
  <c r="E65" i="29"/>
  <c r="F65" i="29" s="1"/>
  <c r="H83" i="2"/>
  <c r="E65" i="18"/>
  <c r="F65" i="18" s="1"/>
  <c r="E65" i="19"/>
  <c r="F65" i="19" s="1"/>
  <c r="E55" i="30"/>
  <c r="F55" i="30" s="1"/>
  <c r="E55" i="27"/>
  <c r="F55" i="27" s="1"/>
  <c r="E55" i="29"/>
  <c r="F55" i="29" s="1"/>
  <c r="H73" i="2"/>
  <c r="E55" i="18"/>
  <c r="F55" i="18" s="1"/>
  <c r="E55" i="19"/>
  <c r="F55" i="19" s="1"/>
  <c r="H65" i="2"/>
  <c r="E47" i="30"/>
  <c r="F47" i="30" s="1"/>
  <c r="E47" i="19"/>
  <c r="F47" i="19" s="1"/>
  <c r="E47" i="18"/>
  <c r="F47" i="18" s="1"/>
  <c r="E47" i="29"/>
  <c r="F47" i="29" s="1"/>
  <c r="E47" i="27"/>
  <c r="F47" i="27" s="1"/>
  <c r="E62" i="30"/>
  <c r="F62" i="30" s="1"/>
  <c r="E62" i="27"/>
  <c r="F62" i="27" s="1"/>
  <c r="E62" i="29"/>
  <c r="F62" i="29" s="1"/>
  <c r="H80" i="2"/>
  <c r="E62" i="18"/>
  <c r="F62" i="18" s="1"/>
  <c r="E62" i="19"/>
  <c r="F62" i="19" s="1"/>
  <c r="E56" i="30"/>
  <c r="F56" i="30" s="1"/>
  <c r="E56" i="29"/>
  <c r="F56" i="29" s="1"/>
  <c r="E56" i="27"/>
  <c r="F56" i="27" s="1"/>
  <c r="H74" i="2"/>
  <c r="E56" i="19"/>
  <c r="F56" i="19" s="1"/>
  <c r="E56" i="18"/>
  <c r="F56" i="18" s="1"/>
  <c r="F86" i="2" l="1"/>
  <c r="E12" i="31"/>
  <c r="F12" i="31" s="1"/>
  <c r="E15" i="31"/>
  <c r="F15" i="31" s="1"/>
  <c r="E41" i="31"/>
  <c r="F41" i="31" s="1"/>
  <c r="B122" i="9"/>
  <c r="E23" i="31"/>
  <c r="F23" i="31" s="1"/>
  <c r="E17" i="31"/>
  <c r="F17" i="31" s="1"/>
  <c r="E18" i="31"/>
  <c r="F18" i="31" s="1"/>
  <c r="B132" i="9"/>
  <c r="E20" i="31"/>
  <c r="F20" i="31" s="1"/>
  <c r="E22" i="31"/>
  <c r="F22" i="31" s="1"/>
  <c r="B123" i="9"/>
  <c r="B133" i="9"/>
  <c r="E43" i="31"/>
  <c r="F43" i="31" s="1"/>
  <c r="B129" i="9"/>
  <c r="E45" i="31"/>
  <c r="F45" i="31" s="1"/>
  <c r="B124" i="9"/>
  <c r="E39" i="31"/>
  <c r="F39" i="31" s="1"/>
  <c r="B131" i="9"/>
  <c r="E44" i="31"/>
  <c r="F44" i="31" s="1"/>
  <c r="B130" i="9"/>
  <c r="B125" i="9"/>
  <c r="E14" i="31"/>
  <c r="F14" i="31" s="1"/>
  <c r="E21" i="31"/>
  <c r="F21" i="31" s="1"/>
  <c r="G86" i="2"/>
  <c r="E68" i="31" l="1"/>
  <c r="F68" i="31" s="1"/>
  <c r="H86" i="2"/>
  <c r="E68" i="30"/>
  <c r="F68" i="30" s="1"/>
  <c r="E68" i="29"/>
  <c r="F68" i="29" s="1"/>
  <c r="E68" i="27"/>
  <c r="F68" i="27" s="1"/>
  <c r="E68" i="19"/>
  <c r="F68" i="19" s="1"/>
  <c r="E68" i="18"/>
  <c r="F68" i="18" s="1"/>
  <c r="E67" i="30"/>
  <c r="F67" i="30" s="1"/>
  <c r="E67" i="29"/>
  <c r="F67" i="29" s="1"/>
  <c r="E67" i="27"/>
  <c r="F67" i="27" s="1"/>
  <c r="E67" i="19"/>
  <c r="F67" i="19" s="1"/>
  <c r="E67" i="31"/>
  <c r="F67" i="31" s="1"/>
  <c r="E66" i="31"/>
  <c r="F66" i="31" s="1"/>
  <c r="E66" i="30"/>
  <c r="F66" i="30" s="1"/>
  <c r="E66" i="29"/>
  <c r="F66" i="29" s="1"/>
  <c r="E66" i="27"/>
  <c r="F66" i="27" s="1"/>
  <c r="E66" i="19"/>
  <c r="F66" i="19" s="1"/>
  <c r="E66" i="18"/>
  <c r="F66" i="18" s="1"/>
  <c r="E52" i="30"/>
  <c r="F52" i="30" s="1"/>
  <c r="E52" i="19"/>
  <c r="F52" i="19" s="1"/>
  <c r="E52" i="18"/>
  <c r="F52" i="18" s="1"/>
  <c r="E52" i="27"/>
  <c r="F52" i="27" s="1"/>
  <c r="E52" i="29"/>
  <c r="F52" i="29" s="1"/>
  <c r="E52" i="31"/>
  <c r="F52" i="31" s="1"/>
  <c r="E51" i="30"/>
  <c r="F51" i="30" s="1"/>
  <c r="E51" i="19"/>
  <c r="F51" i="19" s="1"/>
  <c r="E51" i="18"/>
  <c r="F51" i="18" s="1"/>
  <c r="E51" i="27"/>
  <c r="F51" i="27" s="1"/>
  <c r="E51" i="29"/>
  <c r="F51" i="29" s="1"/>
  <c r="E51" i="31"/>
  <c r="F51" i="31" s="1"/>
  <c r="E50" i="31"/>
  <c r="F50" i="31" s="1"/>
  <c r="E50" i="18"/>
  <c r="F50" i="18" s="1"/>
  <c r="E50" i="19"/>
  <c r="F50" i="19" s="1"/>
  <c r="E50" i="27"/>
  <c r="F50" i="27" s="1"/>
  <c r="E50" i="29"/>
  <c r="F50" i="29" s="1"/>
  <c r="E50" i="30"/>
  <c r="F50" i="30" s="1"/>
  <c r="F88" i="2" l="1"/>
  <c r="G88" i="2"/>
  <c r="E70" i="30" l="1"/>
  <c r="F70" i="30" s="1"/>
  <c r="E70" i="29"/>
  <c r="F70" i="29" s="1"/>
  <c r="E70" i="27"/>
  <c r="F70" i="27" s="1"/>
  <c r="E70" i="31"/>
  <c r="F70" i="31" s="1"/>
  <c r="H88" i="2"/>
  <c r="E70" i="19"/>
  <c r="F70" i="19" s="1"/>
  <c r="E70" i="18"/>
  <c r="F70" i="18" s="1"/>
  <c r="F90" i="2" l="1"/>
  <c r="G90" i="2"/>
  <c r="H90" i="2" l="1"/>
  <c r="E72" i="19"/>
  <c r="F72" i="19" s="1"/>
  <c r="E72" i="18"/>
  <c r="F72" i="18" s="1"/>
  <c r="E72" i="30"/>
  <c r="F72" i="30" s="1"/>
  <c r="E72" i="29"/>
  <c r="F72" i="29" s="1"/>
  <c r="E72" i="31"/>
  <c r="F72" i="31" s="1"/>
  <c r="E72" i="27"/>
  <c r="F72" i="27" s="1"/>
  <c r="F91" i="2" l="1"/>
  <c r="G91" i="2"/>
  <c r="E73" i="31" l="1"/>
  <c r="F73" i="31" s="1"/>
  <c r="E73" i="30"/>
  <c r="F73" i="30" s="1"/>
  <c r="E73" i="27"/>
  <c r="F73" i="27" s="1"/>
  <c r="E73" i="29"/>
  <c r="F73" i="29" s="1"/>
  <c r="H91" i="2"/>
  <c r="E73" i="19"/>
  <c r="F73" i="19" s="1"/>
  <c r="E73" i="18"/>
  <c r="F73" i="18" s="1"/>
  <c r="F92" i="2" l="1"/>
  <c r="G92" i="2"/>
  <c r="H92" i="2" l="1"/>
  <c r="E74" i="19"/>
  <c r="F74" i="19" s="1"/>
  <c r="E74" i="18"/>
  <c r="F74" i="18" s="1"/>
  <c r="E74" i="30"/>
  <c r="F74" i="30" s="1"/>
  <c r="E74" i="27"/>
  <c r="F74" i="27" s="1"/>
  <c r="E74" i="31"/>
  <c r="F74" i="31" s="1"/>
  <c r="E74" i="29"/>
  <c r="F74" i="29" s="1"/>
  <c r="F93" i="2" l="1"/>
  <c r="F94" i="2"/>
  <c r="F95" i="2"/>
  <c r="F96" i="2"/>
  <c r="F97" i="2"/>
  <c r="F98" i="2"/>
  <c r="F99" i="2"/>
  <c r="F100" i="2"/>
  <c r="F101" i="2"/>
  <c r="F102" i="2"/>
  <c r="F104" i="2"/>
  <c r="F105" i="2"/>
  <c r="F106" i="2"/>
  <c r="F108" i="2"/>
  <c r="F109" i="2"/>
  <c r="F110" i="2"/>
  <c r="F111" i="2"/>
  <c r="F112" i="2"/>
  <c r="F114" i="2"/>
  <c r="F115" i="2"/>
  <c r="F116" i="2"/>
  <c r="F117" i="2"/>
  <c r="F118" i="2"/>
  <c r="F119" i="2"/>
  <c r="F120" i="2"/>
  <c r="F121" i="2"/>
  <c r="F122" i="2"/>
  <c r="F123" i="2"/>
  <c r="F124" i="2"/>
  <c r="F125" i="2"/>
  <c r="F126" i="2"/>
  <c r="F127" i="2"/>
  <c r="F129" i="2"/>
  <c r="F130" i="2"/>
  <c r="F133" i="2"/>
  <c r="F136" i="2"/>
  <c r="F137" i="2"/>
  <c r="F138" i="2"/>
  <c r="F139" i="2"/>
  <c r="F140" i="2"/>
  <c r="F141" i="2"/>
  <c r="F142" i="2"/>
  <c r="F143" i="2"/>
  <c r="F144" i="2"/>
  <c r="F145" i="2"/>
  <c r="F146" i="2"/>
  <c r="F147" i="2"/>
  <c r="F148" i="2"/>
  <c r="F149" i="2"/>
  <c r="G142" i="2"/>
  <c r="G125" i="2"/>
  <c r="G98" i="2"/>
  <c r="G120" i="2"/>
  <c r="G94" i="2"/>
  <c r="G93" i="2"/>
  <c r="G106" i="2"/>
  <c r="G110" i="2"/>
  <c r="G146" i="2"/>
  <c r="G144" i="2"/>
  <c r="G129" i="2"/>
  <c r="G147" i="2"/>
  <c r="G136" i="2"/>
  <c r="G102" i="2"/>
  <c r="G95" i="2"/>
  <c r="G130" i="2"/>
  <c r="G118" i="2"/>
  <c r="G116" i="2"/>
  <c r="G111" i="2"/>
  <c r="G133" i="2"/>
  <c r="G124" i="2"/>
  <c r="G105" i="2"/>
  <c r="G137" i="2"/>
  <c r="G143" i="2"/>
  <c r="G99" i="2"/>
  <c r="G138" i="2"/>
  <c r="G139" i="2"/>
  <c r="G141" i="2"/>
  <c r="G149" i="2"/>
  <c r="G97" i="2"/>
  <c r="G117" i="2"/>
  <c r="G123" i="2"/>
  <c r="G127" i="2"/>
  <c r="G115" i="2"/>
  <c r="G109" i="2"/>
  <c r="G145" i="2"/>
  <c r="G140" i="2"/>
  <c r="G148" i="2"/>
  <c r="G122" i="2"/>
  <c r="G119" i="2"/>
  <c r="G96" i="2"/>
  <c r="G104" i="2"/>
  <c r="G112" i="2"/>
  <c r="G108" i="2"/>
  <c r="G100" i="2"/>
  <c r="G126" i="2"/>
  <c r="G114" i="2"/>
  <c r="G101" i="2"/>
  <c r="G121" i="2"/>
  <c r="E26" i="34" l="1"/>
  <c r="F26" i="34" s="1"/>
  <c r="E26" i="35"/>
  <c r="F26" i="35" s="1"/>
  <c r="H144" i="2"/>
  <c r="H99" i="2"/>
  <c r="H138" i="2"/>
  <c r="H129" i="2"/>
  <c r="H121" i="2"/>
  <c r="H101" i="2"/>
  <c r="H93" i="2"/>
  <c r="H111" i="2"/>
  <c r="H143" i="2"/>
  <c r="H126" i="2"/>
  <c r="H118" i="2"/>
  <c r="H106" i="2"/>
  <c r="H98" i="2"/>
  <c r="H136" i="2"/>
  <c r="H146" i="2"/>
  <c r="H148" i="2"/>
  <c r="H140" i="2"/>
  <c r="H123" i="2"/>
  <c r="H115" i="2"/>
  <c r="H95" i="2"/>
  <c r="H145" i="2"/>
  <c r="H137" i="2"/>
  <c r="H120" i="2"/>
  <c r="H112" i="2"/>
  <c r="H100" i="2"/>
  <c r="H119" i="2"/>
  <c r="H142" i="2"/>
  <c r="H125" i="2"/>
  <c r="H117" i="2"/>
  <c r="H110" i="2"/>
  <c r="H105" i="2"/>
  <c r="H97" i="2"/>
  <c r="H147" i="2"/>
  <c r="H139" i="2"/>
  <c r="H130" i="2"/>
  <c r="H122" i="2"/>
  <c r="H114" i="2"/>
  <c r="H108" i="2"/>
  <c r="H102" i="2"/>
  <c r="H94" i="2"/>
  <c r="H127" i="2"/>
  <c r="H141" i="2"/>
  <c r="H133" i="2"/>
  <c r="H124" i="2"/>
  <c r="H116" i="2"/>
  <c r="H109" i="2"/>
  <c r="H104" i="2"/>
  <c r="H96" i="2"/>
  <c r="H149" i="2"/>
  <c r="F151" i="2" l="1"/>
  <c r="F152" i="2"/>
  <c r="F153" i="2"/>
  <c r="F154" i="2"/>
  <c r="F155" i="2"/>
  <c r="F156" i="2"/>
  <c r="F157" i="2"/>
  <c r="F158" i="2"/>
  <c r="F159" i="2"/>
  <c r="F162" i="2"/>
  <c r="F163" i="2"/>
  <c r="F164" i="2"/>
  <c r="F165" i="2"/>
  <c r="F166" i="2"/>
  <c r="F168" i="2"/>
  <c r="E12" i="34"/>
  <c r="F12" i="34" s="1"/>
  <c r="E13" i="34"/>
  <c r="F13" i="34" s="1"/>
  <c r="E14" i="34"/>
  <c r="F14" i="34" s="1"/>
  <c r="E15" i="34"/>
  <c r="F15" i="34" s="1"/>
  <c r="E16" i="34"/>
  <c r="F16" i="34" s="1"/>
  <c r="E17" i="34"/>
  <c r="F17" i="34" s="1"/>
  <c r="E18" i="34"/>
  <c r="F18" i="34" s="1"/>
  <c r="E19" i="34"/>
  <c r="F19" i="34" s="1"/>
  <c r="E20" i="34"/>
  <c r="F20" i="34" s="1"/>
  <c r="E21" i="34"/>
  <c r="F21" i="34" s="1"/>
  <c r="E22" i="34"/>
  <c r="F22" i="34" s="1"/>
  <c r="E23" i="34"/>
  <c r="F23" i="34" s="1"/>
  <c r="E24" i="34"/>
  <c r="F24" i="34" s="1"/>
  <c r="F169" i="2"/>
  <c r="G156" i="2"/>
  <c r="G153" i="2"/>
  <c r="G157" i="2"/>
  <c r="G162" i="2"/>
  <c r="G152" i="2"/>
  <c r="G168" i="2"/>
  <c r="G155" i="2"/>
  <c r="G169" i="2"/>
  <c r="G151" i="2"/>
  <c r="G164" i="2"/>
  <c r="G154" i="2"/>
  <c r="G165" i="2"/>
  <c r="G158" i="2"/>
  <c r="G166" i="2"/>
  <c r="G163" i="2"/>
  <c r="G159" i="2"/>
  <c r="H151" i="2" l="1"/>
  <c r="E28" i="34"/>
  <c r="F28" i="34" s="1"/>
  <c r="H163" i="2"/>
  <c r="E40" i="34"/>
  <c r="F40" i="34" s="1"/>
  <c r="E45" i="34"/>
  <c r="F45" i="34" s="1"/>
  <c r="H168" i="2"/>
  <c r="E36" i="34"/>
  <c r="F36" i="34" s="1"/>
  <c r="H159" i="2"/>
  <c r="E42" i="34"/>
  <c r="F42" i="34" s="1"/>
  <c r="H165" i="2"/>
  <c r="E33" i="34"/>
  <c r="F33" i="34" s="1"/>
  <c r="H156" i="2"/>
  <c r="H162" i="2"/>
  <c r="E39" i="34"/>
  <c r="F39" i="34" s="1"/>
  <c r="H153" i="2"/>
  <c r="E30" i="34"/>
  <c r="F30" i="34" s="1"/>
  <c r="E35" i="34"/>
  <c r="F35" i="34" s="1"/>
  <c r="H158" i="2"/>
  <c r="H152" i="2"/>
  <c r="E29" i="34"/>
  <c r="F29" i="34" s="1"/>
  <c r="H164" i="2"/>
  <c r="E41" i="34"/>
  <c r="F41" i="34" s="1"/>
  <c r="E32" i="34"/>
  <c r="F32" i="34" s="1"/>
  <c r="H155" i="2"/>
  <c r="H166" i="2"/>
  <c r="E43" i="34"/>
  <c r="F43" i="34" s="1"/>
  <c r="H157" i="2"/>
  <c r="E34" i="34"/>
  <c r="F34" i="34" s="1"/>
  <c r="H154" i="2"/>
  <c r="E31" i="34"/>
  <c r="F31" i="34" s="1"/>
  <c r="E46" i="34"/>
  <c r="F46" i="34" s="1"/>
  <c r="F170" i="2"/>
  <c r="G170" i="2"/>
  <c r="E47" i="34" l="1"/>
  <c r="F47" i="34" s="1"/>
  <c r="E12" i="35" l="1"/>
  <c r="F12" i="35" s="1"/>
  <c r="E13" i="35"/>
  <c r="F13" i="35" s="1"/>
  <c r="E14" i="35"/>
  <c r="F14" i="35" s="1"/>
  <c r="E15" i="35"/>
  <c r="F15" i="35" s="1"/>
  <c r="E16" i="35"/>
  <c r="F16" i="35" s="1"/>
  <c r="E17" i="35"/>
  <c r="F17" i="35" s="1"/>
  <c r="E18" i="35"/>
  <c r="F18" i="35" s="1"/>
  <c r="E19" i="35"/>
  <c r="F19" i="35" s="1"/>
  <c r="E20" i="35"/>
  <c r="F20" i="35" s="1"/>
  <c r="E21" i="35"/>
  <c r="F21" i="35" s="1"/>
  <c r="E22" i="35"/>
  <c r="F22" i="35" s="1"/>
  <c r="E23" i="35"/>
  <c r="F23" i="35" s="1"/>
  <c r="E24" i="35"/>
  <c r="F24" i="35" s="1"/>
  <c r="E28" i="35"/>
  <c r="F28" i="35" s="1"/>
  <c r="E29" i="35"/>
  <c r="F29" i="35" s="1"/>
  <c r="E30" i="35"/>
  <c r="F30" i="35" s="1"/>
  <c r="E31" i="35"/>
  <c r="F31" i="35" s="1"/>
  <c r="E32" i="35"/>
  <c r="F32" i="35" s="1"/>
  <c r="E33" i="35"/>
  <c r="F33" i="35" s="1"/>
  <c r="E34" i="35"/>
  <c r="F34" i="35" s="1"/>
  <c r="E35" i="35"/>
  <c r="F35" i="35" s="1"/>
  <c r="E36" i="35"/>
  <c r="F36" i="35" s="1"/>
  <c r="E39" i="35"/>
  <c r="F39" i="35" s="1"/>
  <c r="E40" i="35"/>
  <c r="F40" i="35" s="1"/>
  <c r="E41" i="35"/>
  <c r="F41" i="35" s="1"/>
  <c r="E42" i="35"/>
  <c r="F42" i="35" s="1"/>
  <c r="E43" i="35"/>
  <c r="F43" i="35" s="1"/>
  <c r="E45" i="35"/>
  <c r="F45" i="35" s="1"/>
  <c r="E46" i="35"/>
  <c r="F46" i="35" s="1"/>
  <c r="E47" i="35"/>
  <c r="F47" i="35" s="1"/>
  <c r="H170" i="2"/>
  <c r="H169" i="2"/>
  <c r="E11" i="31"/>
  <c r="F11" i="31" s="1"/>
  <c r="E13" i="31"/>
  <c r="F13" i="31" s="1"/>
  <c r="E16" i="31"/>
  <c r="F16" i="31" s="1"/>
  <c r="E19" i="31"/>
  <c r="F19" i="31" s="1"/>
  <c r="E32" i="31"/>
  <c r="F32" i="31" s="1"/>
  <c r="E35" i="31"/>
  <c r="F35" i="31" s="1"/>
  <c r="E40" i="31"/>
  <c r="F40" i="31" s="1"/>
  <c r="E42" i="31"/>
  <c r="F42" i="31" s="1"/>
  <c r="E49" i="31"/>
  <c r="F49" i="31" s="1"/>
  <c r="E54" i="31"/>
  <c r="F54" i="31" s="1"/>
  <c r="E57" i="31"/>
  <c r="F57" i="31" s="1"/>
  <c r="E60" i="31"/>
  <c r="F60" i="31" s="1"/>
  <c r="E64" i="31"/>
  <c r="F64" i="31" s="1"/>
  <c r="E69" i="31"/>
  <c r="F69" i="31" s="1"/>
  <c r="E71" i="31"/>
  <c r="F71" i="31" s="1"/>
  <c r="E75" i="31"/>
  <c r="F75" i="31" s="1"/>
  <c r="E76" i="31"/>
  <c r="F76" i="31" s="1"/>
  <c r="E77" i="31"/>
  <c r="F77" i="31" s="1"/>
  <c r="E78" i="31"/>
  <c r="F78" i="31" s="1"/>
  <c r="E79" i="31"/>
  <c r="F79" i="31" s="1"/>
  <c r="E80" i="31"/>
  <c r="F80" i="31" s="1"/>
  <c r="E81" i="31"/>
  <c r="F81" i="31" s="1"/>
  <c r="E82" i="31"/>
  <c r="F82" i="31" s="1"/>
  <c r="E83" i="31"/>
  <c r="F83" i="31" s="1"/>
  <c r="E84" i="31"/>
  <c r="F84" i="31" s="1"/>
  <c r="E85" i="31"/>
  <c r="F85" i="31" s="1"/>
  <c r="E86" i="31"/>
  <c r="F86" i="31" s="1"/>
  <c r="E87" i="31"/>
  <c r="F87" i="31" s="1"/>
  <c r="E88" i="31"/>
  <c r="F88" i="31" s="1"/>
  <c r="E90" i="31"/>
  <c r="F90" i="31" s="1"/>
  <c r="E91" i="31"/>
  <c r="F91" i="31" s="1"/>
  <c r="E92" i="31"/>
  <c r="F92" i="31" s="1"/>
  <c r="E95" i="31"/>
  <c r="F95" i="31" s="1"/>
  <c r="E96" i="31"/>
  <c r="F96" i="31" s="1"/>
  <c r="E97" i="31"/>
  <c r="F97" i="31" s="1"/>
  <c r="E98" i="31"/>
  <c r="F98" i="31" s="1"/>
  <c r="E99" i="31"/>
  <c r="F99" i="31" s="1"/>
  <c r="E100" i="31"/>
  <c r="F100" i="31" s="1"/>
  <c r="E101" i="31"/>
  <c r="F101" i="31" s="1"/>
  <c r="E102" i="31"/>
  <c r="F102" i="31" s="1"/>
  <c r="E103" i="31"/>
  <c r="F103" i="31" s="1"/>
  <c r="E104" i="31"/>
  <c r="F104" i="31" s="1"/>
  <c r="E105" i="31"/>
  <c r="F105" i="31" s="1"/>
  <c r="E106" i="31"/>
  <c r="F106" i="31" s="1"/>
  <c r="E107" i="31"/>
  <c r="F107" i="31" s="1"/>
  <c r="E108" i="31"/>
  <c r="F108" i="31" s="1"/>
  <c r="E109" i="31"/>
  <c r="F109" i="31" s="1"/>
  <c r="E110" i="31"/>
  <c r="F110" i="31" s="1"/>
  <c r="E111" i="31"/>
  <c r="F111" i="31" s="1"/>
  <c r="E112" i="31"/>
  <c r="F112" i="31" s="1"/>
  <c r="E114" i="31"/>
  <c r="F114" i="31" s="1"/>
  <c r="E115" i="31"/>
  <c r="F115" i="31" s="1"/>
  <c r="E11" i="29"/>
  <c r="F11" i="29" s="1"/>
  <c r="E13" i="29"/>
  <c r="F13" i="29" s="1"/>
  <c r="E16" i="29"/>
  <c r="F16" i="29" s="1"/>
  <c r="E19" i="29"/>
  <c r="F19" i="29" s="1"/>
  <c r="E32" i="29"/>
  <c r="F32" i="29" s="1"/>
  <c r="E35" i="29"/>
  <c r="F35" i="29" s="1"/>
  <c r="E40" i="29"/>
  <c r="F40" i="29" s="1"/>
  <c r="E42" i="29"/>
  <c r="F42" i="29" s="1"/>
  <c r="E49" i="29"/>
  <c r="F49" i="29" s="1"/>
  <c r="E54" i="29"/>
  <c r="F54" i="29" s="1"/>
  <c r="E57" i="29"/>
  <c r="F57" i="29" s="1"/>
  <c r="E60" i="29"/>
  <c r="F60" i="29" s="1"/>
  <c r="E64" i="29"/>
  <c r="F64" i="29" s="1"/>
  <c r="E69" i="29"/>
  <c r="F69" i="29" s="1"/>
  <c r="E71" i="29"/>
  <c r="F71" i="29" s="1"/>
  <c r="E75" i="29"/>
  <c r="F75" i="29" s="1"/>
  <c r="E76" i="29"/>
  <c r="F76" i="29" s="1"/>
  <c r="E77" i="29"/>
  <c r="F77" i="29" s="1"/>
  <c r="E78" i="29"/>
  <c r="F78" i="29" s="1"/>
  <c r="E79" i="29"/>
  <c r="F79" i="29" s="1"/>
  <c r="E80" i="29"/>
  <c r="F80" i="29" s="1"/>
  <c r="E81" i="29"/>
  <c r="F81" i="29" s="1"/>
  <c r="E82" i="29"/>
  <c r="F82" i="29" s="1"/>
  <c r="E83" i="29"/>
  <c r="F83" i="29" s="1"/>
  <c r="E84" i="29"/>
  <c r="F84" i="29" s="1"/>
  <c r="E85" i="29"/>
  <c r="F85" i="29" s="1"/>
  <c r="E86" i="29"/>
  <c r="F86" i="29" s="1"/>
  <c r="E87" i="29"/>
  <c r="F87" i="29" s="1"/>
  <c r="E88" i="29"/>
  <c r="F88" i="29" s="1"/>
  <c r="E90" i="29"/>
  <c r="F90" i="29" s="1"/>
  <c r="E91" i="29"/>
  <c r="F91" i="29" s="1"/>
  <c r="E92" i="29"/>
  <c r="F92" i="29" s="1"/>
  <c r="E95" i="29"/>
  <c r="F95" i="29" s="1"/>
  <c r="E96" i="29"/>
  <c r="F96" i="29" s="1"/>
  <c r="E97" i="29"/>
  <c r="F97" i="29" s="1"/>
  <c r="E98" i="29"/>
  <c r="F98" i="29" s="1"/>
  <c r="E99" i="29"/>
  <c r="F99" i="29" s="1"/>
  <c r="E100" i="29"/>
  <c r="F100" i="29" s="1"/>
  <c r="E101" i="29"/>
  <c r="F101" i="29" s="1"/>
  <c r="E102" i="29"/>
  <c r="F102" i="29" s="1"/>
  <c r="E103" i="29"/>
  <c r="F103" i="29" s="1"/>
  <c r="E104" i="29"/>
  <c r="F104" i="29" s="1"/>
  <c r="E105" i="29"/>
  <c r="F105" i="29" s="1"/>
  <c r="E106" i="29"/>
  <c r="F106" i="29" s="1"/>
  <c r="E107" i="29"/>
  <c r="F107" i="29" s="1"/>
  <c r="E108" i="29"/>
  <c r="F108" i="29" s="1"/>
  <c r="E109" i="29"/>
  <c r="F109" i="29" s="1"/>
  <c r="E110" i="29"/>
  <c r="F110" i="29" s="1"/>
  <c r="E111" i="29"/>
  <c r="F111" i="29" s="1"/>
  <c r="E112" i="29"/>
  <c r="F112" i="29" s="1"/>
  <c r="E114" i="29"/>
  <c r="F114" i="29" s="1"/>
  <c r="E115" i="29"/>
  <c r="F115" i="29" s="1"/>
  <c r="E11" i="19"/>
  <c r="F11" i="19" s="1"/>
  <c r="E13" i="19"/>
  <c r="F13" i="19" s="1"/>
  <c r="E16" i="19"/>
  <c r="F16" i="19" s="1"/>
  <c r="E19" i="19"/>
  <c r="F19" i="19" s="1"/>
  <c r="E32" i="19"/>
  <c r="F32" i="19" s="1"/>
  <c r="E35" i="19"/>
  <c r="F35" i="19" s="1"/>
  <c r="E40" i="19"/>
  <c r="F40" i="19" s="1"/>
  <c r="E42" i="19"/>
  <c r="F42" i="19" s="1"/>
  <c r="E49" i="19"/>
  <c r="F49" i="19" s="1"/>
  <c r="E54" i="19"/>
  <c r="F54" i="19" s="1"/>
  <c r="E57" i="19"/>
  <c r="F57" i="19" s="1"/>
  <c r="E60" i="19"/>
  <c r="F60" i="19" s="1"/>
  <c r="E64" i="19"/>
  <c r="F64" i="19" s="1"/>
  <c r="E69" i="19"/>
  <c r="F69" i="19" s="1"/>
  <c r="E71" i="19"/>
  <c r="F71" i="19" s="1"/>
  <c r="E75" i="19"/>
  <c r="F75" i="19" s="1"/>
  <c r="E76" i="19"/>
  <c r="F76" i="19" s="1"/>
  <c r="E77" i="19"/>
  <c r="F77" i="19" s="1"/>
  <c r="E78" i="19"/>
  <c r="F78" i="19" s="1"/>
  <c r="E79" i="19"/>
  <c r="F79" i="19" s="1"/>
  <c r="E80" i="19"/>
  <c r="F80" i="19" s="1"/>
  <c r="E81" i="19"/>
  <c r="F81" i="19" s="1"/>
  <c r="E82" i="19"/>
  <c r="F82" i="19" s="1"/>
  <c r="E83" i="19"/>
  <c r="F83" i="19" s="1"/>
  <c r="E84" i="19"/>
  <c r="F84" i="19" s="1"/>
  <c r="E85" i="19"/>
  <c r="F85" i="19" s="1"/>
  <c r="E86" i="19"/>
  <c r="F86" i="19" s="1"/>
  <c r="E87" i="19"/>
  <c r="F87" i="19" s="1"/>
  <c r="E88" i="19"/>
  <c r="F88" i="19" s="1"/>
  <c r="E90" i="19"/>
  <c r="F90" i="19" s="1"/>
  <c r="E95" i="19"/>
  <c r="F95" i="19" s="1"/>
  <c r="E96" i="19"/>
  <c r="F96" i="19" s="1"/>
  <c r="E97" i="19"/>
  <c r="F97" i="19" s="1"/>
  <c r="E98" i="19"/>
  <c r="F98" i="19" s="1"/>
  <c r="E99" i="19"/>
  <c r="F99" i="19" s="1"/>
  <c r="E100" i="19"/>
  <c r="F100" i="19" s="1"/>
  <c r="E101" i="19"/>
  <c r="F101" i="19" s="1"/>
  <c r="E102" i="19"/>
  <c r="F102" i="19" s="1"/>
  <c r="E103" i="19"/>
  <c r="F103" i="19" s="1"/>
  <c r="E104" i="19"/>
  <c r="F104" i="19" s="1"/>
  <c r="E105" i="19"/>
  <c r="F105" i="19" s="1"/>
  <c r="E106" i="19"/>
  <c r="F106" i="19" s="1"/>
  <c r="E107" i="19"/>
  <c r="F107" i="19" s="1"/>
  <c r="E108" i="19"/>
  <c r="F108" i="19" s="1"/>
  <c r="E109" i="19"/>
  <c r="F109" i="19" s="1"/>
  <c r="E110" i="19"/>
  <c r="F110" i="19" s="1"/>
  <c r="E111" i="19"/>
  <c r="F111" i="19" s="1"/>
  <c r="E112" i="19"/>
  <c r="F112" i="19" s="1"/>
  <c r="E114" i="19"/>
  <c r="F114" i="19" s="1"/>
  <c r="E115" i="19"/>
  <c r="F115" i="19" s="1"/>
  <c r="E11" i="30"/>
  <c r="F11" i="30" s="1"/>
  <c r="E13" i="30"/>
  <c r="F13" i="30" s="1"/>
  <c r="E16" i="30"/>
  <c r="F16" i="30" s="1"/>
  <c r="E19" i="30"/>
  <c r="F19" i="30" s="1"/>
  <c r="E32" i="30"/>
  <c r="F32" i="30" s="1"/>
  <c r="E35" i="30"/>
  <c r="F35" i="30" s="1"/>
  <c r="E40" i="30"/>
  <c r="F40" i="30" s="1"/>
  <c r="E42" i="30"/>
  <c r="F42" i="30" s="1"/>
  <c r="E49" i="30"/>
  <c r="F49" i="30" s="1"/>
  <c r="E54" i="30"/>
  <c r="F54" i="30" s="1"/>
  <c r="E57" i="30"/>
  <c r="F57" i="30" s="1"/>
  <c r="E60" i="30"/>
  <c r="F60" i="30" s="1"/>
  <c r="E64" i="30"/>
  <c r="F64" i="30" s="1"/>
  <c r="E69" i="30"/>
  <c r="F69" i="30" s="1"/>
  <c r="E71" i="30"/>
  <c r="F71" i="30" s="1"/>
  <c r="E75" i="30"/>
  <c r="F75" i="30" s="1"/>
  <c r="E76" i="30"/>
  <c r="F76" i="30" s="1"/>
  <c r="E77" i="30"/>
  <c r="F77" i="30" s="1"/>
  <c r="E78" i="30"/>
  <c r="F78" i="30" s="1"/>
  <c r="E79" i="30"/>
  <c r="F79" i="30" s="1"/>
  <c r="E80" i="30"/>
  <c r="F80" i="30" s="1"/>
  <c r="E81" i="30"/>
  <c r="F81" i="30" s="1"/>
  <c r="E82" i="30"/>
  <c r="F82" i="30" s="1"/>
  <c r="E83" i="30"/>
  <c r="F83" i="30" s="1"/>
  <c r="E84" i="30"/>
  <c r="F84" i="30" s="1"/>
  <c r="E85" i="30"/>
  <c r="F85" i="30" s="1"/>
  <c r="E86" i="30"/>
  <c r="F86" i="30" s="1"/>
  <c r="E87" i="30"/>
  <c r="F87" i="30" s="1"/>
  <c r="E88" i="30"/>
  <c r="F88" i="30" s="1"/>
  <c r="E90" i="30"/>
  <c r="F90" i="30" s="1"/>
  <c r="E91" i="30"/>
  <c r="F91" i="30" s="1"/>
  <c r="E92" i="30"/>
  <c r="F92" i="30" s="1"/>
  <c r="E95" i="30"/>
  <c r="F95" i="30" s="1"/>
  <c r="E96" i="30"/>
  <c r="F96" i="30" s="1"/>
  <c r="E97" i="30"/>
  <c r="F97" i="30" s="1"/>
  <c r="E98" i="30"/>
  <c r="F98" i="30" s="1"/>
  <c r="E99" i="30"/>
  <c r="F99" i="30" s="1"/>
  <c r="E100" i="30"/>
  <c r="F100" i="30" s="1"/>
  <c r="E101" i="30"/>
  <c r="F101" i="30" s="1"/>
  <c r="E102" i="30"/>
  <c r="F102" i="30" s="1"/>
  <c r="E103" i="30"/>
  <c r="F103" i="30" s="1"/>
  <c r="E104" i="30"/>
  <c r="F104" i="30" s="1"/>
  <c r="E105" i="30"/>
  <c r="F105" i="30" s="1"/>
  <c r="E106" i="30"/>
  <c r="F106" i="30" s="1"/>
  <c r="E107" i="30"/>
  <c r="F107" i="30" s="1"/>
  <c r="E108" i="30"/>
  <c r="F108" i="30" s="1"/>
  <c r="E109" i="30"/>
  <c r="F109" i="30" s="1"/>
  <c r="E110" i="30"/>
  <c r="F110" i="30" s="1"/>
  <c r="E111" i="30"/>
  <c r="F111" i="30" s="1"/>
  <c r="E112" i="30"/>
  <c r="F112" i="30" s="1"/>
  <c r="E114" i="30"/>
  <c r="F114" i="30" s="1"/>
  <c r="E115" i="30"/>
  <c r="F115" i="30" s="1"/>
  <c r="E11" i="18"/>
  <c r="F11" i="18" s="1"/>
  <c r="E13" i="18"/>
  <c r="F13" i="18" s="1"/>
  <c r="E16" i="18"/>
  <c r="F16" i="18" s="1"/>
  <c r="E19" i="18"/>
  <c r="F19" i="18" s="1"/>
  <c r="E32" i="18"/>
  <c r="F32" i="18" s="1"/>
  <c r="E35" i="18"/>
  <c r="F35" i="18" s="1"/>
  <c r="E40" i="18"/>
  <c r="F40" i="18" s="1"/>
  <c r="E42" i="18"/>
  <c r="F42" i="18" s="1"/>
  <c r="E49" i="18"/>
  <c r="F49" i="18" s="1"/>
  <c r="E54" i="18"/>
  <c r="F54" i="18" s="1"/>
  <c r="E57" i="18"/>
  <c r="F57" i="18" s="1"/>
  <c r="E60" i="18"/>
  <c r="F60" i="18" s="1"/>
  <c r="E64" i="18"/>
  <c r="F64" i="18" s="1"/>
  <c r="E69" i="18"/>
  <c r="F69" i="18" s="1"/>
  <c r="E71" i="18"/>
  <c r="F71" i="18" s="1"/>
  <c r="E75" i="18"/>
  <c r="F75" i="18" s="1"/>
  <c r="E76" i="18"/>
  <c r="F76" i="18" s="1"/>
  <c r="E77" i="18"/>
  <c r="F77" i="18" s="1"/>
  <c r="E78" i="18"/>
  <c r="F78" i="18" s="1"/>
  <c r="E79" i="18"/>
  <c r="F79" i="18" s="1"/>
  <c r="E80" i="18"/>
  <c r="F80" i="18" s="1"/>
  <c r="E81" i="18"/>
  <c r="F81" i="18" s="1"/>
  <c r="E82" i="18"/>
  <c r="F82" i="18" s="1"/>
  <c r="E83" i="18"/>
  <c r="F83" i="18" s="1"/>
  <c r="E84" i="18"/>
  <c r="F84" i="18" s="1"/>
  <c r="E85" i="18"/>
  <c r="F85" i="18" s="1"/>
  <c r="E86" i="18"/>
  <c r="F86" i="18" s="1"/>
  <c r="E87" i="18"/>
  <c r="F87" i="18" s="1"/>
  <c r="E88" i="18"/>
  <c r="F88" i="18" s="1"/>
  <c r="E90" i="18"/>
  <c r="F90" i="18" s="1"/>
  <c r="E92" i="18"/>
  <c r="F92" i="18" s="1"/>
  <c r="E95" i="18"/>
  <c r="F95" i="18" s="1"/>
  <c r="E96" i="18"/>
  <c r="F96" i="18" s="1"/>
  <c r="E97" i="18"/>
  <c r="F97" i="18" s="1"/>
  <c r="E98" i="18"/>
  <c r="F98" i="18" s="1"/>
  <c r="E99" i="18"/>
  <c r="F99" i="18" s="1"/>
  <c r="E100" i="18"/>
  <c r="F100" i="18" s="1"/>
  <c r="E101" i="18"/>
  <c r="F101" i="18" s="1"/>
  <c r="E102" i="18"/>
  <c r="F102" i="18" s="1"/>
  <c r="E103" i="18"/>
  <c r="F103" i="18" s="1"/>
  <c r="E104" i="18"/>
  <c r="F104" i="18" s="1"/>
  <c r="E105" i="18"/>
  <c r="F105" i="18" s="1"/>
  <c r="E106" i="18"/>
  <c r="F106" i="18" s="1"/>
  <c r="E107" i="18"/>
  <c r="F107" i="18" s="1"/>
  <c r="E108" i="18"/>
  <c r="F108" i="18" s="1"/>
  <c r="E109" i="18"/>
  <c r="F109" i="18" s="1"/>
  <c r="E110" i="18"/>
  <c r="F110" i="18" s="1"/>
  <c r="E111" i="18"/>
  <c r="F111" i="18" s="1"/>
  <c r="E112" i="18"/>
  <c r="F112" i="18" s="1"/>
  <c r="E114" i="18"/>
  <c r="F114" i="18" s="1"/>
  <c r="E115" i="18"/>
  <c r="F115" i="18" s="1"/>
  <c r="E11" i="27"/>
  <c r="F11" i="27" s="1"/>
  <c r="E13" i="27"/>
  <c r="F13" i="27" s="1"/>
  <c r="E16" i="27"/>
  <c r="F16" i="27" s="1"/>
  <c r="E19" i="27"/>
  <c r="F19" i="27" s="1"/>
  <c r="E32" i="27"/>
  <c r="F32" i="27" s="1"/>
  <c r="E35" i="27"/>
  <c r="F35" i="27" s="1"/>
  <c r="E40" i="27"/>
  <c r="F40" i="27" s="1"/>
  <c r="E42" i="27"/>
  <c r="F42" i="27" s="1"/>
  <c r="E49" i="27"/>
  <c r="F49" i="27" s="1"/>
  <c r="E54" i="27"/>
  <c r="F54" i="27" s="1"/>
  <c r="E57" i="27"/>
  <c r="F57" i="27" s="1"/>
  <c r="E60" i="27"/>
  <c r="F60" i="27" s="1"/>
  <c r="E64" i="27"/>
  <c r="F64" i="27" s="1"/>
  <c r="E69" i="27"/>
  <c r="F69" i="27" s="1"/>
  <c r="E71" i="27"/>
  <c r="F71" i="27" s="1"/>
  <c r="E75" i="27"/>
  <c r="F75" i="27" s="1"/>
  <c r="E76" i="27"/>
  <c r="F76" i="27" s="1"/>
  <c r="E77" i="27"/>
  <c r="F77" i="27" s="1"/>
  <c r="E78" i="27"/>
  <c r="F78" i="27" s="1"/>
  <c r="E79" i="27"/>
  <c r="F79" i="27" s="1"/>
  <c r="E80" i="27"/>
  <c r="F80" i="27" s="1"/>
  <c r="E81" i="27"/>
  <c r="F81" i="27" s="1"/>
  <c r="E82" i="27"/>
  <c r="F82" i="27" s="1"/>
  <c r="E83" i="27"/>
  <c r="F83" i="27" s="1"/>
  <c r="E84" i="27"/>
  <c r="F84" i="27" s="1"/>
  <c r="E85" i="27"/>
  <c r="F85" i="27" s="1"/>
  <c r="E86" i="27"/>
  <c r="F86" i="27" s="1"/>
  <c r="E87" i="27"/>
  <c r="F87" i="27" s="1"/>
  <c r="E88" i="27"/>
  <c r="F88" i="27" s="1"/>
  <c r="E90" i="27"/>
  <c r="F90" i="27" s="1"/>
  <c r="E91" i="27"/>
  <c r="F91" i="27" s="1"/>
  <c r="E92" i="27"/>
  <c r="F92" i="27" s="1"/>
  <c r="E95" i="27"/>
  <c r="F95" i="27" s="1"/>
  <c r="E96" i="27"/>
  <c r="F96" i="27" s="1"/>
  <c r="E97" i="27"/>
  <c r="F97" i="27" s="1"/>
  <c r="E98" i="27"/>
  <c r="F98" i="27" s="1"/>
  <c r="E99" i="27"/>
  <c r="F99" i="27" s="1"/>
  <c r="E100" i="27"/>
  <c r="F100" i="27" s="1"/>
  <c r="E101" i="27"/>
  <c r="F101" i="27" s="1"/>
  <c r="E102" i="27"/>
  <c r="F102" i="27" s="1"/>
  <c r="E103" i="27"/>
  <c r="F103" i="27" s="1"/>
  <c r="E104" i="27"/>
  <c r="F104" i="27" s="1"/>
  <c r="E105" i="27"/>
  <c r="F105" i="27" s="1"/>
  <c r="E106" i="27"/>
  <c r="F106" i="27" s="1"/>
  <c r="E107" i="27"/>
  <c r="F107" i="27" s="1"/>
  <c r="E108" i="27"/>
  <c r="F108" i="27" s="1"/>
  <c r="E109" i="27"/>
  <c r="F109" i="27" s="1"/>
  <c r="E110" i="27"/>
  <c r="F110" i="27" s="1"/>
  <c r="E111" i="27"/>
  <c r="F111" i="27" s="1"/>
  <c r="E112" i="27"/>
  <c r="F112" i="27" s="1"/>
  <c r="E114" i="27"/>
  <c r="F114" i="27" s="1"/>
  <c r="E115" i="27"/>
  <c r="F115" i="27" s="1"/>
  <c r="F160" i="2" l="1"/>
  <c r="G160" i="2"/>
  <c r="H160" i="2" l="1"/>
  <c r="E37" i="35"/>
  <c r="F37" i="35" s="1"/>
  <c r="E37" i="34"/>
  <c r="F37" i="34" s="1"/>
  <c r="F51" i="2" l="1"/>
  <c r="F52" i="2"/>
  <c r="F54" i="2"/>
  <c r="F55" i="2"/>
  <c r="F56" i="2"/>
  <c r="G54" i="2"/>
  <c r="G51" i="2"/>
  <c r="G55" i="2"/>
  <c r="G56" i="2"/>
  <c r="G52" i="2"/>
  <c r="E36" i="29" l="1"/>
  <c r="F36" i="29" s="1"/>
  <c r="E36" i="31"/>
  <c r="F36" i="31" s="1"/>
  <c r="E36" i="18"/>
  <c r="F36" i="18" s="1"/>
  <c r="E36" i="30"/>
  <c r="F36" i="30" s="1"/>
  <c r="E36" i="27"/>
  <c r="F36" i="27" s="1"/>
  <c r="H54" i="2"/>
  <c r="E36" i="19"/>
  <c r="F36" i="19" s="1"/>
  <c r="E38" i="19"/>
  <c r="F38" i="19" s="1"/>
  <c r="E38" i="29"/>
  <c r="F38" i="29" s="1"/>
  <c r="E38" i="18"/>
  <c r="F38" i="18" s="1"/>
  <c r="E38" i="30"/>
  <c r="F38" i="30" s="1"/>
  <c r="H56" i="2"/>
  <c r="E38" i="31"/>
  <c r="F38" i="31" s="1"/>
  <c r="E38" i="27"/>
  <c r="F38" i="27" s="1"/>
  <c r="E34" i="31"/>
  <c r="F34" i="31" s="1"/>
  <c r="E34" i="29"/>
  <c r="F34" i="29" s="1"/>
  <c r="E34" i="18"/>
  <c r="F34" i="18" s="1"/>
  <c r="E34" i="30"/>
  <c r="F34" i="30" s="1"/>
  <c r="E34" i="27"/>
  <c r="F34" i="27" s="1"/>
  <c r="H52" i="2"/>
  <c r="E34" i="19"/>
  <c r="F34" i="19" s="1"/>
  <c r="E37" i="19"/>
  <c r="F37" i="19" s="1"/>
  <c r="H55" i="2"/>
  <c r="E37" i="29"/>
  <c r="F37" i="29" s="1"/>
  <c r="E37" i="18"/>
  <c r="F37" i="18" s="1"/>
  <c r="E37" i="27"/>
  <c r="F37" i="27" s="1"/>
  <c r="E37" i="30"/>
  <c r="F37" i="30" s="1"/>
  <c r="E37" i="31"/>
  <c r="F37" i="31" s="1"/>
  <c r="E33" i="18"/>
  <c r="F33" i="18" s="1"/>
  <c r="E33" i="30"/>
  <c r="F33" i="30" s="1"/>
  <c r="H51" i="2"/>
  <c r="E33" i="27"/>
  <c r="F33" i="27" s="1"/>
  <c r="E33" i="19"/>
  <c r="F33" i="19" s="1"/>
  <c r="E33" i="31"/>
  <c r="F33" i="31" s="1"/>
  <c r="E33" i="29"/>
  <c r="F33" i="29" s="1"/>
  <c r="F42" i="2" l="1"/>
  <c r="F43" i="2"/>
  <c r="F44" i="2"/>
  <c r="F45" i="2"/>
  <c r="F46" i="2"/>
  <c r="F47" i="2"/>
  <c r="F48" i="2"/>
  <c r="F49" i="2"/>
  <c r="G48" i="2"/>
  <c r="G43" i="2"/>
  <c r="G42" i="2"/>
  <c r="G44" i="2"/>
  <c r="G47" i="2"/>
  <c r="G49" i="2"/>
  <c r="G45" i="2"/>
  <c r="G46" i="2"/>
  <c r="E31" i="31" l="1"/>
  <c r="F31" i="31" s="1"/>
  <c r="E31" i="30"/>
  <c r="F31" i="30" s="1"/>
  <c r="E31" i="29"/>
  <c r="F31" i="29" s="1"/>
  <c r="E31" i="27"/>
  <c r="F31" i="27" s="1"/>
  <c r="E31" i="19"/>
  <c r="F31" i="19" s="1"/>
  <c r="E31" i="18"/>
  <c r="F31" i="18" s="1"/>
  <c r="E27" i="31"/>
  <c r="F27" i="31" s="1"/>
  <c r="E27" i="30"/>
  <c r="F27" i="30" s="1"/>
  <c r="E27" i="27"/>
  <c r="F27" i="27" s="1"/>
  <c r="E27" i="19"/>
  <c r="F27" i="19" s="1"/>
  <c r="E27" i="18"/>
  <c r="F27" i="18" s="1"/>
  <c r="E27" i="29"/>
  <c r="F27" i="29" s="1"/>
  <c r="H45" i="2"/>
  <c r="E24" i="18"/>
  <c r="F24" i="18" s="1"/>
  <c r="E24" i="31"/>
  <c r="F24" i="31" s="1"/>
  <c r="E24" i="29"/>
  <c r="F24" i="29" s="1"/>
  <c r="E24" i="30"/>
  <c r="F24" i="30" s="1"/>
  <c r="E24" i="27"/>
  <c r="F24" i="27" s="1"/>
  <c r="E24" i="19"/>
  <c r="F24" i="19" s="1"/>
  <c r="H42" i="2"/>
  <c r="E26" i="27"/>
  <c r="F26" i="27" s="1"/>
  <c r="E26" i="29"/>
  <c r="F26" i="29" s="1"/>
  <c r="E26" i="19"/>
  <c r="F26" i="19" s="1"/>
  <c r="E26" i="30"/>
  <c r="F26" i="30" s="1"/>
  <c r="E26" i="18"/>
  <c r="F26" i="18" s="1"/>
  <c r="H44" i="2"/>
  <c r="E26" i="31"/>
  <c r="F26" i="31" s="1"/>
  <c r="H48" i="2"/>
  <c r="E30" i="18"/>
  <c r="F30" i="18" s="1"/>
  <c r="E30" i="30"/>
  <c r="F30" i="30" s="1"/>
  <c r="E30" i="19"/>
  <c r="F30" i="19" s="1"/>
  <c r="E30" i="29"/>
  <c r="F30" i="29" s="1"/>
  <c r="E30" i="31"/>
  <c r="F30" i="31" s="1"/>
  <c r="E30" i="27"/>
  <c r="F30" i="27" s="1"/>
  <c r="E29" i="29"/>
  <c r="F29" i="29" s="1"/>
  <c r="E29" i="19"/>
  <c r="F29" i="19" s="1"/>
  <c r="E29" i="31"/>
  <c r="F29" i="31" s="1"/>
  <c r="E29" i="30"/>
  <c r="F29" i="30" s="1"/>
  <c r="E29" i="27"/>
  <c r="F29" i="27" s="1"/>
  <c r="H47" i="2"/>
  <c r="E29" i="18"/>
  <c r="F29" i="18" s="1"/>
  <c r="H49" i="2"/>
  <c r="E28" i="29"/>
  <c r="F28" i="29" s="1"/>
  <c r="E28" i="31"/>
  <c r="F28" i="31" s="1"/>
  <c r="E28" i="30"/>
  <c r="F28" i="30" s="1"/>
  <c r="E28" i="19"/>
  <c r="F28" i="19" s="1"/>
  <c r="H46" i="2"/>
  <c r="E28" i="27"/>
  <c r="F28" i="27" s="1"/>
  <c r="E28" i="18"/>
  <c r="F28" i="18" s="1"/>
  <c r="E25" i="19"/>
  <c r="F25" i="19" s="1"/>
  <c r="H43" i="2"/>
  <c r="E25" i="18"/>
  <c r="F25" i="18" s="1"/>
  <c r="E25" i="30"/>
  <c r="F25" i="30" s="1"/>
  <c r="E25" i="29"/>
  <c r="F25" i="29" s="1"/>
  <c r="E25" i="31"/>
  <c r="F25" i="31" s="1"/>
  <c r="E25" i="27"/>
  <c r="F25" i="27" s="1"/>
  <c r="F131" i="2" l="1"/>
  <c r="F171" i="2"/>
  <c r="G131" i="2"/>
  <c r="G171" i="2"/>
  <c r="H171" i="2" l="1"/>
  <c r="H131" i="2"/>
  <c r="E113" i="18"/>
  <c r="F113" i="18" s="1"/>
  <c r="E113" i="19"/>
  <c r="F113" i="19" s="1"/>
  <c r="E113" i="27"/>
  <c r="F113" i="27" s="1"/>
  <c r="E113" i="29"/>
  <c r="F113" i="29" s="1"/>
  <c r="E113" i="31"/>
  <c r="F113" i="31" s="1"/>
  <c r="E113" i="30"/>
  <c r="F113" i="30" s="1"/>
  <c r="E48" i="35"/>
  <c r="F48" i="35" s="1"/>
  <c r="F36" i="28" s="1"/>
  <c r="H36" i="28" s="1"/>
  <c r="F107" i="2" l="1"/>
  <c r="G107" i="2"/>
  <c r="H107" i="2" l="1"/>
  <c r="H172" i="2" s="1"/>
  <c r="E89" i="19"/>
  <c r="F89" i="19" s="1"/>
  <c r="E89" i="29"/>
  <c r="F89" i="29" s="1"/>
  <c r="E89" i="18"/>
  <c r="F89" i="18" s="1"/>
  <c r="E89" i="31"/>
  <c r="F89" i="31" s="1"/>
  <c r="E89" i="27"/>
  <c r="F89" i="27" s="1"/>
  <c r="E89" i="30"/>
  <c r="F89" i="30" s="1"/>
  <c r="E91" i="19" l="1"/>
  <c r="F91" i="19" s="1"/>
  <c r="E92" i="19"/>
  <c r="F92" i="19" s="1"/>
  <c r="E93" i="31"/>
  <c r="F93" i="31" s="1"/>
  <c r="E93" i="30"/>
  <c r="F93" i="30" s="1"/>
  <c r="E93" i="27"/>
  <c r="F93" i="27" s="1"/>
  <c r="E93" i="29"/>
  <c r="F93" i="29" s="1"/>
  <c r="E93" i="18"/>
  <c r="F93" i="18" s="1"/>
  <c r="E93" i="19"/>
  <c r="F93" i="19" s="1"/>
  <c r="H183" i="2" l="1"/>
  <c r="H185" i="2" s="1"/>
  <c r="H188" i="2" s="1"/>
  <c r="E94" i="18" l="1"/>
  <c r="F94" i="18" s="1"/>
  <c r="E94" i="29"/>
  <c r="F94" i="29" s="1"/>
  <c r="E94" i="19"/>
  <c r="F94" i="19" s="1"/>
  <c r="E94" i="27"/>
  <c r="F94" i="27" s="1"/>
  <c r="E94" i="31"/>
  <c r="F94" i="31" s="1"/>
  <c r="E94" i="30"/>
  <c r="F94" i="30" s="1"/>
  <c r="E91" i="18"/>
  <c r="F91" i="18" s="1"/>
  <c r="I30" i="2"/>
  <c r="I32" i="2"/>
  <c r="I33" i="2"/>
  <c r="I35" i="2"/>
  <c r="I36" i="2"/>
  <c r="I38" i="2"/>
  <c r="I39" i="2"/>
  <c r="I40" i="2"/>
  <c r="I41" i="2"/>
  <c r="I42" i="2"/>
  <c r="I43" i="2"/>
  <c r="I44" i="2"/>
  <c r="I45" i="2"/>
  <c r="I46" i="2"/>
  <c r="I47" i="2"/>
  <c r="I48" i="2"/>
  <c r="I49" i="2"/>
  <c r="I51" i="2"/>
  <c r="I52" i="2"/>
  <c r="I54" i="2"/>
  <c r="I55" i="2"/>
  <c r="I56" i="2"/>
  <c r="I57" i="2"/>
  <c r="I59" i="2"/>
  <c r="I61" i="2"/>
  <c r="I62" i="2"/>
  <c r="I63" i="2"/>
  <c r="I64" i="2"/>
  <c r="I65" i="2"/>
  <c r="I66" i="2"/>
  <c r="I68" i="2"/>
  <c r="I69" i="2"/>
  <c r="I70" i="2"/>
  <c r="I71" i="2"/>
  <c r="I73" i="2"/>
  <c r="I74" i="2"/>
  <c r="I76" i="2"/>
  <c r="I77" i="2"/>
  <c r="I79" i="2"/>
  <c r="I80" i="2"/>
  <c r="I81" i="2"/>
  <c r="I83" i="2"/>
  <c r="I84" i="2"/>
  <c r="I85" i="2"/>
  <c r="I86" i="2"/>
  <c r="I88" i="2"/>
  <c r="I90" i="2"/>
  <c r="I91" i="2"/>
  <c r="I92" i="2"/>
  <c r="I93" i="2"/>
  <c r="I94" i="2"/>
  <c r="I95" i="2"/>
  <c r="I96" i="2"/>
  <c r="I97" i="2"/>
  <c r="I98" i="2"/>
  <c r="I99" i="2"/>
  <c r="I100" i="2"/>
  <c r="I101" i="2"/>
  <c r="I102" i="2"/>
  <c r="I104" i="2"/>
  <c r="I105" i="2"/>
  <c r="I106" i="2"/>
  <c r="I107" i="2"/>
  <c r="I108" i="2"/>
  <c r="I109" i="2"/>
  <c r="I110" i="2"/>
  <c r="I111" i="2"/>
  <c r="I112" i="2"/>
  <c r="I114" i="2"/>
  <c r="I115" i="2"/>
  <c r="I116" i="2"/>
  <c r="I117" i="2"/>
  <c r="I118" i="2"/>
  <c r="I119" i="2"/>
  <c r="I120" i="2"/>
  <c r="I121" i="2"/>
  <c r="I122" i="2"/>
  <c r="I123" i="2"/>
  <c r="I124" i="2"/>
  <c r="I125" i="2"/>
  <c r="I126" i="2"/>
  <c r="I127" i="2"/>
  <c r="I129" i="2"/>
  <c r="I130" i="2"/>
  <c r="I131" i="2"/>
  <c r="I133" i="2"/>
  <c r="I136" i="2"/>
  <c r="I137" i="2"/>
  <c r="I138" i="2"/>
  <c r="I139" i="2"/>
  <c r="I140" i="2"/>
  <c r="I141" i="2"/>
  <c r="I142" i="2"/>
  <c r="I143" i="2"/>
  <c r="I144" i="2"/>
  <c r="I145" i="2"/>
  <c r="I146" i="2"/>
  <c r="I147" i="2"/>
  <c r="I148" i="2"/>
  <c r="I149" i="2"/>
  <c r="I151" i="2"/>
  <c r="I152" i="2"/>
  <c r="I153" i="2"/>
  <c r="I154" i="2"/>
  <c r="I155" i="2"/>
  <c r="I156" i="2"/>
  <c r="I157" i="2"/>
  <c r="I158" i="2"/>
  <c r="I159" i="2"/>
  <c r="I160" i="2"/>
  <c r="I162" i="2"/>
  <c r="I163" i="2"/>
  <c r="I164" i="2"/>
  <c r="I165" i="2"/>
  <c r="I166" i="2"/>
  <c r="I168" i="2"/>
  <c r="I169" i="2"/>
  <c r="I170" i="2"/>
  <c r="I171" i="2"/>
  <c r="H174" i="2"/>
  <c r="F172" i="2" s="1"/>
  <c r="B6" i="28"/>
  <c r="C9" i="9"/>
  <c r="E164" i="9" s="1"/>
  <c r="E165" i="9" s="1"/>
  <c r="I172" i="2" l="1"/>
  <c r="I185" i="2" s="1"/>
  <c r="E29" i="33"/>
  <c r="F29" i="33" s="1"/>
  <c r="E12" i="22"/>
  <c r="F12" i="22" s="1"/>
  <c r="E32" i="22"/>
  <c r="F32" i="22" s="1"/>
  <c r="D41" i="9"/>
  <c r="D101" i="9"/>
  <c r="E25" i="35"/>
  <c r="F25" i="35" s="1"/>
  <c r="F59" i="35" s="1"/>
  <c r="E30" i="33"/>
  <c r="F30" i="33" s="1"/>
  <c r="E13" i="22"/>
  <c r="F13" i="22" s="1"/>
  <c r="E33" i="22"/>
  <c r="F33" i="22" s="1"/>
  <c r="D22" i="9"/>
  <c r="D122" i="9"/>
  <c r="E11" i="33"/>
  <c r="F11" i="33" s="1"/>
  <c r="E31" i="33"/>
  <c r="F31" i="33" s="1"/>
  <c r="E14" i="22"/>
  <c r="F14" i="22" s="1"/>
  <c r="E34" i="22"/>
  <c r="F34" i="22" s="1"/>
  <c r="D63" i="9"/>
  <c r="D123" i="9"/>
  <c r="E12" i="33"/>
  <c r="F12" i="33" s="1"/>
  <c r="E32" i="33"/>
  <c r="F32" i="33" s="1"/>
  <c r="E15" i="22"/>
  <c r="F15" i="22" s="1"/>
  <c r="E35" i="22"/>
  <c r="F35" i="22" s="1"/>
  <c r="E13" i="33"/>
  <c r="F13" i="33" s="1"/>
  <c r="E33" i="33"/>
  <c r="F33" i="33" s="1"/>
  <c r="E16" i="22"/>
  <c r="F16" i="22" s="1"/>
  <c r="E36" i="22"/>
  <c r="F36" i="22" s="1"/>
  <c r="D25" i="9"/>
  <c r="E14" i="33"/>
  <c r="F14" i="33" s="1"/>
  <c r="E34" i="33"/>
  <c r="F34" i="33" s="1"/>
  <c r="E17" i="22"/>
  <c r="F17" i="22" s="1"/>
  <c r="E37" i="22"/>
  <c r="F37" i="22" s="1"/>
  <c r="D46" i="9"/>
  <c r="D66" i="9"/>
  <c r="E15" i="33"/>
  <c r="F15" i="33" s="1"/>
  <c r="E35" i="33"/>
  <c r="F35" i="33" s="1"/>
  <c r="E18" i="22"/>
  <c r="F18" i="22" s="1"/>
  <c r="E38" i="22"/>
  <c r="F38" i="22" s="1"/>
  <c r="E16" i="33"/>
  <c r="F16" i="33" s="1"/>
  <c r="E36" i="33"/>
  <c r="F36" i="33" s="1"/>
  <c r="E19" i="22"/>
  <c r="F19" i="22" s="1"/>
  <c r="E39" i="22"/>
  <c r="F39" i="22" s="1"/>
  <c r="D48" i="9"/>
  <c r="E17" i="33"/>
  <c r="F17" i="33" s="1"/>
  <c r="E37" i="33"/>
  <c r="F37" i="33" s="1"/>
  <c r="E20" i="22"/>
  <c r="F20" i="22" s="1"/>
  <c r="E40" i="22"/>
  <c r="F40" i="22" s="1"/>
  <c r="D149" i="9"/>
  <c r="E18" i="33"/>
  <c r="F18" i="33" s="1"/>
  <c r="E38" i="33"/>
  <c r="F38" i="33" s="1"/>
  <c r="E21" i="22"/>
  <c r="F21" i="22" s="1"/>
  <c r="E41" i="22"/>
  <c r="F41" i="22" s="1"/>
  <c r="D70" i="9"/>
  <c r="E19" i="33"/>
  <c r="F19" i="33" s="1"/>
  <c r="E39" i="33"/>
  <c r="F39" i="33" s="1"/>
  <c r="E22" i="22"/>
  <c r="F22" i="22" s="1"/>
  <c r="E42" i="22"/>
  <c r="F42" i="22" s="1"/>
  <c r="D91" i="9"/>
  <c r="E20" i="33"/>
  <c r="F20" i="33" s="1"/>
  <c r="E40" i="33"/>
  <c r="F40" i="33" s="1"/>
  <c r="E23" i="22"/>
  <c r="F23" i="22" s="1"/>
  <c r="E43" i="22"/>
  <c r="F43" i="22" s="1"/>
  <c r="E21" i="33"/>
  <c r="F21" i="33" s="1"/>
  <c r="E41" i="33"/>
  <c r="F41" i="33" s="1"/>
  <c r="E24" i="22"/>
  <c r="F24" i="22" s="1"/>
  <c r="E44" i="22"/>
  <c r="F44" i="22" s="1"/>
  <c r="E22" i="33"/>
  <c r="F22" i="33" s="1"/>
  <c r="E42" i="33"/>
  <c r="F42" i="33" s="1"/>
  <c r="E25" i="22"/>
  <c r="F25" i="22" s="1"/>
  <c r="E45" i="22"/>
  <c r="F45" i="22" s="1"/>
  <c r="E23" i="33"/>
  <c r="F23" i="33" s="1"/>
  <c r="E43" i="33"/>
  <c r="F43" i="33" s="1"/>
  <c r="E26" i="22"/>
  <c r="F26" i="22" s="1"/>
  <c r="E46" i="22"/>
  <c r="F46" i="22" s="1"/>
  <c r="D55" i="9"/>
  <c r="D75" i="9"/>
  <c r="D155" i="9"/>
  <c r="E24" i="33"/>
  <c r="F24" i="33" s="1"/>
  <c r="E44" i="33"/>
  <c r="F44" i="33" s="1"/>
  <c r="E27" i="22"/>
  <c r="F27" i="22" s="1"/>
  <c r="E47" i="22"/>
  <c r="F47" i="22" s="1"/>
  <c r="D116" i="9"/>
  <c r="E25" i="33"/>
  <c r="F25" i="33" s="1"/>
  <c r="E45" i="33"/>
  <c r="F45" i="33" s="1"/>
  <c r="E28" i="22"/>
  <c r="F28" i="22" s="1"/>
  <c r="D17" i="9"/>
  <c r="D77" i="9"/>
  <c r="E26" i="33"/>
  <c r="F26" i="33" s="1"/>
  <c r="E46" i="33"/>
  <c r="F46" i="33" s="1"/>
  <c r="E29" i="22"/>
  <c r="F29" i="22" s="1"/>
  <c r="D38" i="9"/>
  <c r="D138" i="9"/>
  <c r="E27" i="33"/>
  <c r="F27" i="33" s="1"/>
  <c r="E25" i="34"/>
  <c r="F25" i="34" s="1"/>
  <c r="F58" i="34" s="1"/>
  <c r="H22" i="2" s="1"/>
  <c r="E30" i="22"/>
  <c r="F30" i="22" s="1"/>
  <c r="D19" i="9"/>
  <c r="E28" i="33"/>
  <c r="F28" i="33" s="1"/>
  <c r="E11" i="22"/>
  <c r="F11" i="22" s="1"/>
  <c r="E31" i="22"/>
  <c r="F31" i="22" s="1"/>
  <c r="D60" i="9"/>
  <c r="D120" i="9"/>
  <c r="D100" i="9"/>
  <c r="D80" i="9"/>
  <c r="D40" i="9"/>
  <c r="D20" i="9"/>
  <c r="D159" i="9"/>
  <c r="D139" i="9"/>
  <c r="D119" i="9"/>
  <c r="D99" i="9"/>
  <c r="D79" i="9"/>
  <c r="D59" i="9"/>
  <c r="D39" i="9"/>
  <c r="D118" i="9"/>
  <c r="D98" i="9"/>
  <c r="D78" i="9"/>
  <c r="D58" i="9"/>
  <c r="D18" i="9"/>
  <c r="D137" i="9"/>
  <c r="D57" i="9"/>
  <c r="D37" i="9"/>
  <c r="D157" i="9"/>
  <c r="D156" i="9"/>
  <c r="D136" i="9"/>
  <c r="D96" i="9"/>
  <c r="D76" i="9"/>
  <c r="D56" i="9"/>
  <c r="D36" i="9"/>
  <c r="D35" i="9"/>
  <c r="D135" i="9"/>
  <c r="D154" i="9"/>
  <c r="D134" i="9"/>
  <c r="D114" i="9"/>
  <c r="D94" i="9"/>
  <c r="D74" i="9"/>
  <c r="D54" i="9"/>
  <c r="D34" i="9"/>
  <c r="D97" i="9"/>
  <c r="D95" i="9"/>
  <c r="D153" i="9"/>
  <c r="D133" i="9"/>
  <c r="D113" i="9"/>
  <c r="D93" i="9"/>
  <c r="D73" i="9"/>
  <c r="D53" i="9"/>
  <c r="D33" i="9"/>
  <c r="D140" i="9"/>
  <c r="D117" i="9"/>
  <c r="D115" i="9"/>
  <c r="D152" i="9"/>
  <c r="D132" i="9"/>
  <c r="D112" i="9"/>
  <c r="D92" i="9"/>
  <c r="D72" i="9"/>
  <c r="D52" i="9"/>
  <c r="D32" i="9"/>
  <c r="D151" i="9"/>
  <c r="D131" i="9"/>
  <c r="D111" i="9"/>
  <c r="D71" i="9"/>
  <c r="D51" i="9"/>
  <c r="D31" i="9"/>
  <c r="D150" i="9"/>
  <c r="D130" i="9"/>
  <c r="D110" i="9"/>
  <c r="D90" i="9"/>
  <c r="D50" i="9"/>
  <c r="D30" i="9"/>
  <c r="D158" i="9"/>
  <c r="D129" i="9"/>
  <c r="D109" i="9"/>
  <c r="D89" i="9"/>
  <c r="D69" i="9"/>
  <c r="D49" i="9"/>
  <c r="D29" i="9"/>
  <c r="D128" i="9"/>
  <c r="D108" i="9"/>
  <c r="D88" i="9"/>
  <c r="D68" i="9"/>
  <c r="D28" i="9"/>
  <c r="D148" i="9"/>
  <c r="D147" i="9"/>
  <c r="D127" i="9"/>
  <c r="D107" i="9"/>
  <c r="D87" i="9"/>
  <c r="D67" i="9"/>
  <c r="D47" i="9"/>
  <c r="D27" i="9"/>
  <c r="D141" i="9"/>
  <c r="D86" i="9"/>
  <c r="D26" i="9"/>
  <c r="D126" i="9"/>
  <c r="D145" i="9"/>
  <c r="D105" i="9"/>
  <c r="D85" i="9"/>
  <c r="D65" i="9"/>
  <c r="D45" i="9"/>
  <c r="D146" i="9"/>
  <c r="D106" i="9"/>
  <c r="D125" i="9"/>
  <c r="D144" i="9"/>
  <c r="D124" i="9"/>
  <c r="D104" i="9"/>
  <c r="D84" i="9"/>
  <c r="D64" i="9"/>
  <c r="D44" i="9"/>
  <c r="D24" i="9"/>
  <c r="D103" i="9"/>
  <c r="D83" i="9"/>
  <c r="D43" i="9"/>
  <c r="D23" i="9"/>
  <c r="D143" i="9"/>
  <c r="D142" i="9"/>
  <c r="D102" i="9"/>
  <c r="D82" i="9"/>
  <c r="D62" i="9"/>
  <c r="D42" i="9"/>
  <c r="D121" i="9"/>
  <c r="D81" i="9"/>
  <c r="D61" i="9"/>
  <c r="D21" i="9"/>
  <c r="F126" i="27"/>
  <c r="F117" i="27" s="1"/>
  <c r="F118" i="27" s="1"/>
  <c r="F119" i="27" s="1"/>
  <c r="F126" i="19"/>
  <c r="H17" i="2" s="1"/>
  <c r="F126" i="31"/>
  <c r="F26" i="28" s="1"/>
  <c r="H26" i="28" s="1"/>
  <c r="F126" i="29"/>
  <c r="F22" i="28" s="1"/>
  <c r="H22" i="28" s="1"/>
  <c r="F126" i="30"/>
  <c r="H20" i="2" s="1"/>
  <c r="F126" i="18"/>
  <c r="C6" i="2"/>
  <c r="H175" i="2"/>
  <c r="H176" i="2" s="1"/>
  <c r="H178" i="2" l="1"/>
  <c r="F50" i="35"/>
  <c r="F51" i="35" s="1"/>
  <c r="F52" i="35" s="1"/>
  <c r="F32" i="28"/>
  <c r="H32" i="28" s="1"/>
  <c r="H16" i="2"/>
  <c r="F16" i="28"/>
  <c r="H16" i="28" s="1"/>
  <c r="F30" i="28"/>
  <c r="H30" i="28" s="1"/>
  <c r="F49" i="34"/>
  <c r="F50" i="34" s="1"/>
  <c r="F51" i="34" s="1"/>
  <c r="H23" i="2"/>
  <c r="M161" i="9"/>
  <c r="M164" i="9" s="1"/>
  <c r="F59" i="33"/>
  <c r="F50" i="33" s="1"/>
  <c r="F51" i="33" s="1"/>
  <c r="F52" i="33" s="1"/>
  <c r="F62" i="22"/>
  <c r="F53" i="22" s="1"/>
  <c r="F54" i="22" s="1"/>
  <c r="F55" i="22" s="1"/>
  <c r="H161" i="9"/>
  <c r="H164" i="9" s="1"/>
  <c r="S161" i="9"/>
  <c r="S164" i="9" s="1"/>
  <c r="W161" i="9"/>
  <c r="W164" i="9" s="1"/>
  <c r="G161" i="9"/>
  <c r="G164" i="9" s="1"/>
  <c r="D160" i="9"/>
  <c r="V161" i="9"/>
  <c r="V164" i="9" s="1"/>
  <c r="T161" i="9"/>
  <c r="T164" i="9" s="1"/>
  <c r="F161" i="9"/>
  <c r="F164" i="9" s="1"/>
  <c r="F165" i="9" s="1"/>
  <c r="N161" i="9"/>
  <c r="N164" i="9" s="1"/>
  <c r="R161" i="9"/>
  <c r="R164" i="9" s="1"/>
  <c r="J161" i="9"/>
  <c r="J164" i="9" s="1"/>
  <c r="K161" i="9"/>
  <c r="K164" i="9" s="1"/>
  <c r="Q161" i="9"/>
  <c r="Q164" i="9" s="1"/>
  <c r="L161" i="9"/>
  <c r="L164" i="9" s="1"/>
  <c r="O161" i="9"/>
  <c r="O164" i="9" s="1"/>
  <c r="I161" i="9"/>
  <c r="I164" i="9" s="1"/>
  <c r="U161" i="9"/>
  <c r="U164" i="9" s="1"/>
  <c r="P161" i="9"/>
  <c r="P164" i="9" s="1"/>
  <c r="H18" i="2"/>
  <c r="F117" i="30"/>
  <c r="F118" i="30" s="1"/>
  <c r="F119" i="30" s="1"/>
  <c r="F120" i="30" s="1"/>
  <c r="F117" i="31"/>
  <c r="F118" i="31" s="1"/>
  <c r="F119" i="31" s="1"/>
  <c r="F121" i="31" s="1"/>
  <c r="H21" i="2"/>
  <c r="F20" i="28"/>
  <c r="H20" i="28" s="1"/>
  <c r="F117" i="19"/>
  <c r="F118" i="19" s="1"/>
  <c r="F119" i="19" s="1"/>
  <c r="F120" i="19" s="1"/>
  <c r="F24" i="28"/>
  <c r="H24" i="28" s="1"/>
  <c r="F18" i="28"/>
  <c r="H18" i="28" s="1"/>
  <c r="H19" i="2"/>
  <c r="F117" i="29"/>
  <c r="F118" i="29" s="1"/>
  <c r="F119" i="29" s="1"/>
  <c r="F121" i="29" s="1"/>
  <c r="F117" i="18"/>
  <c r="F118" i="18" s="1"/>
  <c r="F119" i="18" s="1"/>
  <c r="F120" i="18" s="1"/>
  <c r="F120" i="27"/>
  <c r="F121" i="27"/>
  <c r="H177" i="2"/>
  <c r="H39" i="28" l="1"/>
  <c r="H44" i="28" s="1"/>
  <c r="H179" i="2"/>
  <c r="H180" i="2" s="1"/>
  <c r="G165" i="9"/>
  <c r="H165" i="9" s="1"/>
  <c r="I165" i="9" s="1"/>
  <c r="J165" i="9" s="1"/>
  <c r="K165" i="9" s="1"/>
  <c r="L165" i="9" s="1"/>
  <c r="M165" i="9" s="1"/>
  <c r="N165" i="9" s="1"/>
  <c r="O165" i="9" s="1"/>
  <c r="P165" i="9" s="1"/>
  <c r="Q165" i="9" s="1"/>
  <c r="R165" i="9" s="1"/>
  <c r="S165" i="9" s="1"/>
  <c r="T165" i="9" s="1"/>
  <c r="U165" i="9" s="1"/>
  <c r="V165" i="9" s="1"/>
  <c r="W165" i="9" s="1"/>
  <c r="F162" i="9"/>
  <c r="F171" i="9" s="1"/>
  <c r="X161" i="9"/>
  <c r="F120" i="29"/>
  <c r="F122" i="29" s="1"/>
  <c r="F123" i="29" s="1"/>
  <c r="F120" i="31"/>
  <c r="F122" i="31" s="1"/>
  <c r="F121" i="30"/>
  <c r="F122" i="30" s="1"/>
  <c r="F123" i="30" s="1"/>
  <c r="F121" i="19"/>
  <c r="F122" i="19" s="1"/>
  <c r="F121" i="18"/>
  <c r="F122" i="18" s="1"/>
  <c r="F124" i="18" s="1"/>
  <c r="F122" i="27"/>
  <c r="F53" i="35"/>
  <c r="F54" i="35"/>
  <c r="F56" i="22"/>
  <c r="F57" i="22"/>
  <c r="F54" i="33"/>
  <c r="F53" i="33"/>
  <c r="F52" i="34"/>
  <c r="F53" i="34"/>
  <c r="H181" i="2" l="1"/>
  <c r="F170" i="9"/>
  <c r="G162" i="9"/>
  <c r="G171" i="9" s="1"/>
  <c r="H41" i="28"/>
  <c r="H42" i="28" s="1"/>
  <c r="H45" i="28" s="1"/>
  <c r="H49" i="28" s="1"/>
  <c r="F124" i="29"/>
  <c r="F55" i="35"/>
  <c r="F57" i="35" s="1"/>
  <c r="F55" i="33"/>
  <c r="F56" i="33" s="1"/>
  <c r="F123" i="18"/>
  <c r="F124" i="30"/>
  <c r="F124" i="31"/>
  <c r="F123" i="31"/>
  <c r="F123" i="19"/>
  <c r="F124" i="19"/>
  <c r="F124" i="27"/>
  <c r="F123" i="27"/>
  <c r="F54" i="34"/>
  <c r="F56" i="34" s="1"/>
  <c r="F58" i="22"/>
  <c r="F59" i="22" s="1"/>
  <c r="H162" i="9" l="1"/>
  <c r="H170" i="9" s="1"/>
  <c r="G170" i="9"/>
  <c r="F56" i="35"/>
  <c r="F57" i="33"/>
  <c r="F60" i="22"/>
  <c r="F55" i="34"/>
  <c r="H48" i="28"/>
  <c r="H52" i="28" s="1"/>
  <c r="H55" i="28" l="1"/>
  <c r="B11" i="28"/>
  <c r="H171" i="9"/>
  <c r="I162" i="9"/>
  <c r="I170" i="9" s="1"/>
  <c r="I171" i="9" l="1"/>
  <c r="J162" i="9"/>
  <c r="K162" i="9" s="1"/>
  <c r="J170" i="9" l="1"/>
  <c r="J171" i="9"/>
  <c r="K170" i="9"/>
  <c r="K171" i="9"/>
  <c r="L162" i="9"/>
  <c r="L171" i="9" l="1"/>
  <c r="L170" i="9"/>
  <c r="M162" i="9"/>
  <c r="N162" i="9" l="1"/>
  <c r="M170" i="9"/>
  <c r="M171" i="9"/>
  <c r="N171" i="9" l="1"/>
  <c r="N170" i="9"/>
  <c r="O162" i="9"/>
  <c r="O171" i="9" l="1"/>
  <c r="P162" i="9"/>
  <c r="O170" i="9"/>
  <c r="P171" i="9" l="1"/>
  <c r="Q162" i="9"/>
  <c r="P170" i="9"/>
  <c r="Q171" i="9" l="1"/>
  <c r="Q170" i="9"/>
  <c r="R162" i="9"/>
  <c r="R170" i="9" l="1"/>
  <c r="S162" i="9"/>
  <c r="R171" i="9"/>
  <c r="S171" i="9" l="1"/>
  <c r="S170" i="9"/>
  <c r="T162" i="9"/>
  <c r="T171" i="9" l="1"/>
  <c r="T170" i="9"/>
  <c r="U162" i="9"/>
  <c r="V162" i="9" l="1"/>
  <c r="U171" i="9"/>
  <c r="U170" i="9"/>
  <c r="V170" i="9" l="1"/>
  <c r="V171" i="9"/>
  <c r="W162" i="9"/>
  <c r="W170" i="9" l="1"/>
  <c r="W171" i="9"/>
</calcChain>
</file>

<file path=xl/sharedStrings.xml><?xml version="1.0" encoding="utf-8"?>
<sst xmlns="http://schemas.openxmlformats.org/spreadsheetml/2006/main" count="3408" uniqueCount="1555">
  <si>
    <t>DESIGNACION</t>
  </si>
  <si>
    <t>UN.</t>
  </si>
  <si>
    <t>CANT.</t>
  </si>
  <si>
    <t>gl</t>
  </si>
  <si>
    <t>m3</t>
  </si>
  <si>
    <t>m2</t>
  </si>
  <si>
    <t>REVESTIMIENTOS</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</si>
  <si>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</si>
  <si>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</si>
  <si>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</si>
  <si>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</si>
  <si>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</si>
  <si>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</si>
  <si>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</si>
  <si>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</si>
  <si>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</si>
  <si>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</si>
  <si>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</si>
  <si>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</si>
  <si>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</si>
  <si>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</si>
  <si>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</si>
  <si>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</si>
  <si>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</si>
  <si>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</si>
  <si>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</si>
  <si>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</si>
  <si>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</si>
  <si>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</si>
  <si>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</si>
  <si>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</si>
  <si>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</si>
  <si>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</si>
  <si>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</si>
  <si>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</si>
  <si>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</si>
  <si>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</si>
  <si>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</si>
  <si>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</si>
  <si>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</si>
  <si>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</si>
  <si>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</si>
  <si>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</si>
  <si>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</si>
  <si>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</si>
  <si>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</si>
  <si>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</si>
  <si>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</si>
  <si>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</si>
  <si>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</si>
  <si>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</si>
  <si>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</si>
  <si>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</si>
  <si>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</si>
  <si>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</si>
  <si>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</si>
  <si>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</si>
  <si>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</si>
  <si>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</si>
  <si>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</si>
  <si>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</si>
  <si>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</si>
  <si>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</si>
  <si>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</si>
  <si>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</si>
  <si>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</si>
  <si>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</si>
  <si>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</si>
  <si>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</si>
  <si>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</si>
  <si>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</si>
  <si>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</si>
  <si>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</si>
  <si>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</si>
  <si>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</si>
  <si>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</si>
  <si>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</si>
  <si>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</si>
  <si>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</si>
  <si>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</si>
  <si>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</si>
  <si>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</si>
  <si>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</si>
  <si>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</si>
  <si>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</si>
  <si>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</si>
  <si>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</si>
  <si>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</si>
  <si>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</si>
  <si>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</si>
  <si>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</si>
  <si>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</si>
  <si>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</si>
  <si>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</si>
  <si>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</si>
  <si>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</si>
  <si>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</si>
  <si>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</si>
  <si>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</si>
  <si>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</si>
  <si>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</si>
  <si>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</si>
  <si>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</si>
  <si>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</si>
  <si>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</si>
  <si>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</si>
  <si>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</si>
  <si>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</si>
  <si>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</si>
  <si>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</si>
  <si>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</si>
  <si>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</si>
  <si>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</si>
  <si>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</si>
  <si>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</si>
  <si>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</si>
  <si>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</si>
  <si>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</si>
  <si>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</si>
  <si>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</si>
  <si>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</si>
  <si>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</si>
  <si>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</si>
  <si>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</si>
  <si>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</si>
  <si>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</si>
  <si>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</si>
  <si>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</si>
  <si>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</si>
  <si>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</si>
  <si>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</si>
  <si>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</si>
  <si>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</si>
  <si>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</si>
  <si>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</si>
  <si>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</si>
  <si>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</si>
  <si>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</si>
  <si>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</si>
  <si>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</si>
  <si>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</si>
  <si>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</si>
  <si>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</si>
  <si>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</si>
  <si>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</si>
  <si>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</si>
  <si>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</si>
  <si>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</si>
  <si>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</si>
  <si>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</si>
  <si>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</si>
  <si>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</si>
  <si>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</si>
  <si>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</si>
  <si>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</si>
  <si>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</si>
  <si>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</si>
  <si>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</si>
  <si>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</si>
  <si>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</si>
  <si>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</si>
  <si>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</si>
  <si>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</si>
  <si>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</si>
  <si>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</si>
  <si>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</si>
  <si>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</si>
  <si>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</si>
  <si>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</si>
  <si>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</si>
  <si>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</si>
  <si>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</si>
  <si>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</si>
  <si>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</si>
  <si>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</si>
  <si>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</si>
  <si>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</si>
  <si>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</si>
  <si>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</si>
  <si>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</si>
  <si>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</si>
  <si>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</si>
  <si>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</si>
  <si>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</si>
  <si>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</si>
  <si>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</si>
  <si>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</si>
  <si>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</si>
  <si>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</si>
  <si>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</si>
  <si>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</si>
  <si>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</si>
  <si>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</si>
  <si>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</si>
  <si>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</si>
  <si>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</si>
  <si>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</si>
  <si>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</si>
  <si>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</si>
  <si>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</si>
  <si>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</si>
  <si>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</si>
  <si>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</si>
  <si>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</si>
  <si>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</si>
  <si>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</si>
  <si>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</si>
  <si>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</si>
  <si>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</si>
  <si>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</si>
  <si>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</si>
  <si>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</si>
  <si>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</si>
  <si>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</si>
  <si>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</si>
  <si>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</si>
  <si>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</si>
  <si>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</si>
  <si>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</si>
  <si>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</si>
  <si>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</si>
  <si>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</si>
  <si>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</si>
  <si>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</si>
  <si>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</si>
  <si>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</si>
  <si>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</si>
  <si>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</si>
  <si>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</si>
  <si>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</si>
  <si>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</si>
  <si>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</si>
  <si>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</si>
  <si>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</si>
  <si>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</si>
  <si>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</si>
  <si>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</si>
  <si>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</si>
  <si>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</si>
  <si>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</si>
  <si>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</si>
  <si>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</si>
  <si>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</si>
  <si>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</si>
  <si>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</si>
  <si>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</si>
  <si>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</si>
  <si>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</si>
  <si>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</si>
  <si>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</si>
  <si>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</si>
  <si>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</si>
  <si>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</si>
  <si>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</si>
  <si>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</si>
  <si>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</si>
  <si>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</si>
  <si>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</si>
  <si>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</si>
  <si>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</si>
  <si>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</si>
  <si>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</si>
  <si>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</si>
  <si>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</si>
  <si>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</si>
  <si>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</si>
  <si>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</si>
  <si>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</si>
  <si>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</si>
  <si>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</si>
  <si>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</si>
  <si>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</si>
  <si>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</si>
  <si>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</si>
  <si>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</si>
  <si>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</si>
  <si>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</si>
  <si>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</si>
  <si>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</si>
  <si>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</si>
  <si>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</si>
  <si>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</si>
  <si>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</si>
  <si>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</si>
  <si>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</si>
  <si>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</si>
  <si>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</si>
  <si>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</si>
  <si>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</si>
  <si>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</si>
  <si>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</si>
  <si>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</si>
  <si>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</si>
  <si>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</si>
  <si>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</si>
  <si>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</si>
  <si>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</si>
  <si>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</si>
  <si>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</si>
  <si>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</si>
  <si>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</si>
  <si>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</si>
  <si>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</si>
  <si>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</si>
  <si>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</si>
  <si>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</si>
  <si>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</si>
  <si>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</si>
  <si>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</si>
  <si>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</si>
  <si>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</si>
  <si>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</si>
  <si>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</si>
  <si>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</si>
  <si>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</si>
  <si>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</si>
  <si>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</si>
  <si>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</si>
  <si>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</si>
  <si>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</si>
  <si>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</si>
  <si>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</si>
  <si>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</si>
  <si>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</si>
  <si>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</si>
  <si>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</si>
  <si>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</si>
  <si>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</si>
  <si>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</si>
  <si>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</si>
  <si>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</si>
  <si>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</si>
  <si>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</si>
  <si>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</si>
  <si>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</si>
  <si>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</si>
  <si>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</si>
  <si>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</si>
  <si>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</si>
  <si>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</si>
  <si>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</si>
  <si>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</si>
  <si>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</si>
  <si>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</si>
  <si>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</si>
  <si>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</si>
  <si>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</si>
  <si>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</si>
  <si>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</si>
  <si>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</si>
  <si>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</si>
  <si>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</si>
  <si>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</si>
  <si>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</si>
  <si>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</si>
  <si>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</si>
  <si>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</si>
  <si>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</si>
  <si>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</si>
  <si>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</si>
  <si>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</si>
  <si>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</si>
  <si>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</si>
  <si>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</si>
  <si>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</si>
  <si>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</si>
  <si>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</si>
  <si>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</si>
  <si>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</si>
  <si>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</si>
  <si>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</si>
  <si>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</si>
  <si>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</si>
  <si>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</si>
  <si>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</si>
  <si>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</si>
  <si>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</si>
  <si>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</si>
  <si>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</si>
  <si>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</si>
  <si>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</si>
  <si>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</si>
  <si>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</si>
  <si>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</si>
  <si>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</si>
  <si>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</si>
  <si>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</si>
  <si>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</si>
  <si>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</si>
  <si>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</si>
  <si>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</si>
  <si>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</si>
  <si>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</si>
  <si>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</si>
  <si>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</si>
  <si>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</si>
  <si>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</si>
  <si>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</si>
  <si>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</si>
  <si>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</si>
  <si>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</si>
  <si>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</si>
  <si>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</si>
  <si>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</si>
  <si>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</si>
  <si>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</si>
  <si>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</si>
  <si>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</si>
  <si>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</si>
  <si>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</si>
  <si>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</si>
  <si>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</si>
  <si>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</si>
  <si>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</si>
  <si>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</si>
  <si>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</si>
  <si>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</si>
  <si>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</si>
  <si>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</si>
  <si>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</si>
  <si>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</si>
  <si>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</si>
  <si>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</si>
  <si>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</si>
  <si>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</si>
  <si>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</si>
  <si>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</si>
  <si>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</si>
  <si>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</si>
  <si>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</si>
  <si>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</si>
  <si>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</si>
  <si>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</si>
  <si>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</si>
  <si>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</si>
  <si>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</si>
  <si>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</si>
  <si>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</si>
  <si>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</si>
  <si>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</si>
  <si>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</si>
  <si>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</si>
  <si>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</si>
  <si>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</si>
  <si>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</si>
  <si>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</si>
  <si>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</si>
  <si>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</si>
  <si>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</si>
  <si>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</si>
  <si>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</si>
  <si>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</si>
  <si>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</si>
  <si>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</si>
  <si>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</si>
  <si>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</si>
  <si>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</si>
  <si>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</si>
  <si>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</si>
  <si>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</si>
  <si>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</si>
  <si>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</si>
  <si>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</si>
  <si>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</si>
  <si>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</si>
  <si>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</si>
  <si>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</si>
  <si>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</si>
  <si>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</si>
  <si>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</si>
  <si>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</si>
  <si>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</si>
  <si>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</si>
  <si>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</si>
  <si>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</si>
  <si>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</si>
  <si>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</si>
  <si>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</si>
  <si>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</si>
  <si>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</si>
  <si>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</si>
  <si>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</si>
  <si>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</si>
  <si>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</si>
  <si>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</si>
  <si>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</si>
  <si>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</si>
  <si>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</si>
  <si>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</si>
  <si>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</si>
  <si>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</si>
  <si>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</si>
  <si>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</si>
  <si>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</si>
  <si>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</si>
  <si>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</si>
  <si>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</si>
  <si>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</si>
  <si>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</si>
  <si>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</si>
  <si>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</si>
  <si>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</si>
  <si>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</si>
  <si>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</si>
  <si>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</si>
  <si>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</si>
  <si>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</si>
  <si>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</si>
  <si>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</si>
  <si>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</si>
  <si>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</si>
  <si>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</si>
  <si>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</si>
  <si>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</si>
  <si>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</si>
  <si>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</si>
  <si>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</si>
  <si>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</si>
  <si>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</si>
  <si>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</si>
  <si>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</si>
  <si>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</si>
  <si>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</si>
  <si>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</si>
  <si>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</si>
  <si>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</si>
  <si>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</si>
  <si>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</si>
  <si>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</si>
  <si>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</si>
  <si>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</si>
  <si>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</si>
  <si>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</si>
  <si>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</si>
  <si>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</si>
  <si>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</si>
  <si>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</si>
  <si>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</si>
  <si>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</si>
  <si>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</si>
  <si>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</si>
  <si>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</si>
  <si>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</si>
  <si>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</si>
  <si>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</si>
  <si>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</si>
  <si>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</si>
  <si>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</si>
  <si>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</si>
  <si>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</si>
  <si>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</si>
  <si>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</si>
  <si>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</si>
  <si>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</si>
  <si>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</si>
  <si>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</si>
  <si>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</si>
  <si>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</si>
  <si>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</si>
  <si>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</si>
  <si>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</si>
  <si>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</si>
  <si>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</si>
  <si>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</si>
  <si>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</si>
  <si>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</si>
  <si>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</si>
  <si>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</si>
  <si>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</si>
  <si>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</si>
  <si>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</si>
  <si>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</si>
  <si>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</si>
  <si>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</si>
  <si>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</si>
  <si>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</si>
  <si>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</si>
  <si>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</si>
  <si>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</si>
  <si>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</si>
  <si>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</si>
  <si>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</si>
  <si>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</si>
  <si>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</si>
  <si>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</si>
  <si>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</si>
  <si>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</si>
  <si>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</si>
  <si>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</si>
  <si>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</si>
  <si>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</si>
  <si>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</si>
  <si>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</si>
  <si>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</si>
  <si>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</si>
  <si>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</si>
  <si>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</si>
  <si>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</si>
  <si>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</si>
  <si>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</si>
  <si>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</si>
  <si>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</si>
  <si>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</si>
  <si>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</si>
  <si>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</si>
  <si>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</si>
  <si>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</si>
  <si>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</si>
  <si>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</si>
  <si>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</si>
  <si>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</si>
  <si>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</si>
  <si>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</si>
  <si>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</si>
  <si>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</si>
  <si>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</si>
  <si>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</si>
  <si>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</si>
  <si>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</si>
  <si>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</si>
  <si>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</si>
  <si>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</si>
  <si>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</si>
  <si>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</si>
  <si>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</si>
  <si>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</si>
  <si>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</si>
  <si>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</si>
  <si>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</si>
  <si>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</si>
  <si>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</si>
  <si>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</si>
  <si>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</si>
  <si>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</si>
  <si>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</si>
  <si>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</si>
  <si>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</si>
  <si>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</si>
  <si>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</si>
  <si>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</si>
  <si>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</si>
  <si>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</si>
  <si>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</si>
  <si>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</si>
  <si>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</si>
  <si>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</si>
  <si>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</si>
  <si>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</si>
  <si>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</si>
  <si>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</si>
  <si>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</si>
  <si>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</si>
  <si>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</si>
  <si>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</si>
  <si>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</si>
  <si>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</si>
  <si>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</si>
  <si>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</si>
  <si>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</si>
  <si>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</si>
  <si>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</si>
  <si>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</si>
  <si>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</si>
  <si>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</si>
  <si>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</si>
  <si>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</si>
  <si>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</si>
  <si>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</si>
  <si>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</si>
  <si>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</si>
  <si>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</si>
  <si>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</si>
  <si>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</si>
  <si>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</si>
  <si>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</si>
  <si>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</si>
  <si>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</si>
  <si>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</si>
  <si>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</si>
  <si>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</si>
  <si>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</si>
  <si>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</si>
  <si>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</si>
  <si>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</si>
  <si>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</si>
  <si>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</si>
  <si>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</si>
  <si>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</si>
  <si>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</si>
  <si>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</si>
  <si>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</si>
  <si>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</si>
  <si>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</si>
  <si>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</si>
  <si>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</si>
  <si>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</si>
  <si>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</si>
  <si>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</si>
  <si>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</si>
  <si>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</si>
  <si>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</si>
  <si>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</si>
  <si>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</si>
  <si>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</si>
  <si>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</si>
  <si>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</si>
  <si>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</si>
  <si>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</si>
  <si>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</si>
  <si>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</si>
  <si>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</si>
  <si>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</si>
  <si>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</si>
  <si>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</si>
  <si>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</si>
  <si>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</si>
  <si>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</si>
  <si>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</si>
  <si>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</si>
  <si>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</si>
  <si>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</si>
  <si>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</si>
  <si>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</si>
  <si>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</si>
  <si>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</si>
  <si>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</si>
  <si>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</si>
  <si>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</si>
  <si>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</si>
  <si>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</si>
  <si>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</si>
  <si>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</si>
  <si>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</si>
  <si>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</si>
  <si>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</si>
  <si>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</si>
  <si>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</si>
  <si>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</si>
  <si>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</si>
  <si>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</si>
  <si>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</si>
  <si>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</si>
  <si>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</si>
  <si>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</si>
  <si>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</si>
  <si>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</si>
  <si>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</si>
  <si>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</si>
  <si>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</si>
  <si>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</si>
  <si>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</si>
  <si>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</si>
  <si>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</si>
  <si>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</si>
  <si>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</si>
  <si>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</si>
  <si>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</si>
  <si>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</si>
  <si>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</si>
  <si>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</si>
  <si>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</si>
  <si>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</si>
  <si>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</si>
  <si>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</si>
  <si>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</si>
  <si>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</si>
  <si>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</si>
  <si>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</si>
  <si>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</si>
  <si>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</si>
  <si>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</si>
  <si>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</si>
  <si>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</si>
  <si>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</si>
  <si>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</si>
  <si>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</si>
  <si>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</si>
  <si>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</si>
  <si>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</si>
  <si>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</si>
  <si>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</si>
  <si>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</si>
  <si>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</si>
  <si>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</si>
  <si>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</si>
  <si>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</si>
  <si>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</si>
  <si>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</si>
  <si>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</si>
  <si>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</si>
  <si>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</si>
  <si>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</si>
  <si>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</si>
  <si>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</si>
  <si>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</si>
  <si>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</si>
  <si>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</si>
  <si>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</si>
  <si>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</si>
  <si>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</si>
  <si>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</si>
  <si>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</si>
  <si>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</si>
  <si>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</si>
  <si>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</si>
  <si>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</si>
  <si>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</si>
  <si>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</si>
  <si>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</si>
  <si>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</si>
  <si>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</si>
  <si>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</si>
  <si>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</si>
  <si>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</si>
  <si>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</si>
  <si>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</si>
  <si>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</si>
  <si>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</si>
  <si>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</si>
  <si>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</si>
  <si>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</si>
  <si>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</si>
  <si>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</si>
  <si>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</si>
  <si>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</si>
  <si>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</si>
  <si>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</si>
  <si>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</si>
  <si>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</si>
  <si>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</si>
  <si>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</si>
  <si>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</si>
  <si>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</si>
  <si>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</si>
  <si>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</si>
  <si>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</si>
  <si>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</si>
  <si>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</si>
  <si>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</si>
  <si>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</si>
  <si>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</si>
  <si>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</si>
  <si>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</si>
  <si>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</si>
  <si>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</si>
  <si>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</si>
  <si>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</si>
  <si>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</si>
  <si>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</si>
  <si>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</si>
  <si>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</si>
  <si>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</si>
  <si>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</si>
  <si>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</si>
  <si>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</si>
  <si>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</si>
  <si>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</si>
  <si>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</si>
  <si>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</si>
  <si>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</si>
  <si>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</si>
  <si>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</si>
  <si>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</si>
  <si>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</si>
  <si>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</si>
  <si>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</si>
  <si>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</si>
  <si>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</si>
  <si>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</si>
  <si>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</si>
  <si>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</si>
  <si>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</si>
  <si>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</si>
  <si>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</si>
  <si>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</si>
  <si>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</si>
  <si>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</si>
  <si>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</si>
  <si>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</si>
  <si>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</si>
  <si>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</si>
  <si>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</si>
  <si>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</si>
  <si>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</si>
  <si>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</si>
  <si>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</si>
  <si>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</si>
  <si>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</si>
  <si>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</si>
  <si>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</si>
  <si>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</si>
  <si>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</si>
  <si>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</si>
  <si>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</si>
  <si>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</si>
  <si>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</si>
  <si>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</si>
  <si>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</si>
  <si>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</si>
  <si>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</si>
  <si>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</si>
  <si>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</si>
  <si>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</si>
  <si>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</si>
  <si>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</si>
  <si>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</si>
  <si>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</si>
  <si>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</si>
  <si>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</si>
  <si>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</si>
  <si>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</si>
  <si>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</si>
  <si>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</si>
  <si>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</si>
  <si>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</si>
  <si>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</si>
  <si>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</si>
  <si>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</si>
  <si>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</si>
  <si>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</si>
  <si>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</si>
  <si>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</si>
  <si>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</si>
  <si>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</si>
  <si>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</si>
  <si>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</si>
  <si>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</si>
  <si>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</si>
  <si>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</si>
  <si>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</si>
  <si>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</si>
  <si>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</si>
  <si>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</si>
  <si>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</si>
  <si>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</si>
  <si>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</si>
  <si>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</si>
  <si>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</si>
  <si>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</si>
  <si>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</si>
  <si>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</si>
  <si>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</si>
  <si>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</si>
  <si>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</si>
  <si>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</si>
  <si>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</si>
  <si>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</si>
  <si>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</si>
  <si>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</si>
  <si>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</si>
  <si>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</si>
  <si>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</si>
  <si>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</si>
  <si>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</si>
  <si>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</si>
  <si>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</si>
  <si>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</si>
  <si>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</si>
  <si>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</si>
  <si>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</si>
  <si>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</si>
  <si>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</si>
  <si>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</si>
  <si>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</si>
  <si>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</si>
  <si>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</si>
  <si>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</si>
  <si>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</si>
  <si>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</si>
  <si>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</si>
  <si>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</si>
  <si>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</si>
  <si>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</si>
  <si>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</si>
  <si>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</si>
  <si>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</si>
  <si>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</si>
  <si>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</si>
  <si>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</si>
  <si>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</si>
  <si>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</si>
  <si>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</si>
  <si>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</si>
  <si>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</si>
  <si>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</si>
  <si>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</si>
  <si>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</si>
  <si>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</si>
  <si>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</si>
  <si>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</si>
  <si>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</si>
  <si>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</si>
  <si>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</si>
  <si>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</si>
  <si>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</si>
  <si>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</si>
  <si>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</si>
  <si>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</si>
  <si>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</si>
  <si>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</si>
  <si>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</si>
  <si>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</si>
  <si>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</si>
  <si>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</si>
  <si>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</si>
  <si>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</si>
  <si>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</si>
  <si>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</si>
  <si>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</si>
  <si>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</si>
  <si>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</si>
  <si>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</si>
  <si>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</si>
  <si>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</si>
  <si>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</si>
  <si>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</si>
  <si>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</si>
  <si>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</si>
  <si>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</si>
  <si>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</si>
  <si>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</si>
  <si>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</si>
  <si>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</si>
  <si>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</si>
  <si>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</si>
  <si>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</si>
  <si>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</si>
  <si>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</si>
  <si>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</si>
  <si>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</si>
  <si>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</si>
  <si>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</si>
  <si>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</si>
  <si>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</si>
  <si>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</si>
  <si>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</si>
  <si>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</si>
  <si>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</si>
  <si>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</si>
  <si>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</si>
  <si>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</si>
  <si>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</si>
  <si>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</si>
  <si>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</si>
  <si>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</si>
  <si>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</si>
  <si>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</si>
  <si>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</si>
  <si>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</si>
  <si>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</si>
  <si>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</si>
  <si>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</si>
  <si>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</si>
  <si>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</si>
  <si>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</si>
  <si>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</si>
  <si>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</si>
  <si>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</si>
  <si>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</si>
  <si>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</si>
  <si>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</si>
  <si>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</si>
  <si>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</si>
  <si>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</si>
  <si>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</si>
  <si>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</si>
  <si>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</si>
  <si>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</si>
  <si>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</si>
  <si>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</si>
  <si>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</si>
  <si>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</si>
  <si>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</si>
  <si>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</si>
  <si>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</si>
  <si>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</si>
  <si>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</si>
  <si>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</si>
  <si>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</si>
  <si>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</si>
  <si>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</si>
  <si>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</si>
  <si>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</si>
  <si>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</si>
  <si>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</si>
  <si>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</si>
  <si>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</si>
  <si>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</si>
  <si>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</si>
  <si>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</si>
  <si>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</si>
  <si>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</si>
  <si>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</si>
  <si>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</si>
  <si>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</si>
  <si>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</si>
  <si>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</si>
  <si>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</si>
  <si>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</si>
  <si>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</si>
  <si>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</si>
  <si>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</si>
  <si>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</si>
  <si>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</si>
  <si>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</si>
  <si>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</si>
  <si>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</si>
  <si>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</si>
  <si>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</si>
  <si>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</si>
  <si>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</si>
  <si>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</si>
  <si>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</si>
  <si>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</si>
  <si>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</si>
  <si>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</si>
  <si>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</si>
  <si>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</si>
  <si>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</si>
  <si>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</si>
  <si>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</si>
  <si>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</si>
  <si>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</si>
  <si>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</si>
  <si>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A</t>
  </si>
  <si>
    <t>B</t>
  </si>
  <si>
    <t>MONTO TOTAL DE OBRA</t>
  </si>
  <si>
    <t>PROTOTIPO:</t>
  </si>
  <si>
    <t>COEFICIENTE DE PASO VIVIENDA</t>
  </si>
  <si>
    <t>COEFICIENTE DE PASO INFRAESTRUCTURA</t>
  </si>
  <si>
    <t>PLAN DE TRABAJO</t>
  </si>
  <si>
    <t>AVANCE PORCENTUAL OBRA</t>
  </si>
  <si>
    <t>CURVA DE INVERSIÓN</t>
  </si>
  <si>
    <t>AVANCE MONETARIO OBRA</t>
  </si>
  <si>
    <t>MONTO DEL TERRENO</t>
  </si>
  <si>
    <t>MONTO TERRENO</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</si>
  <si>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</si>
  <si>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</si>
  <si>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</si>
  <si>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</si>
  <si>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</si>
  <si>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</si>
  <si>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</si>
  <si>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u</t>
  </si>
  <si>
    <t>Excavación no clasificada</t>
  </si>
  <si>
    <t>Arbolado público</t>
  </si>
  <si>
    <t>kg</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</si>
  <si>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</si>
  <si>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</si>
  <si>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</si>
  <si>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</si>
  <si>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</si>
  <si>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</si>
  <si>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</si>
  <si>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</si>
  <si>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</si>
  <si>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</si>
  <si>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</si>
  <si>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</si>
  <si>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</si>
  <si>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</si>
  <si>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</si>
  <si>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</si>
  <si>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</si>
  <si>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</si>
  <si>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</si>
  <si>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</si>
  <si>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</si>
  <si>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</si>
  <si>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</si>
  <si>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</si>
  <si>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</si>
  <si>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</si>
  <si>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</si>
  <si>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</si>
  <si>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</si>
  <si>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</si>
  <si>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</si>
  <si>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</si>
  <si>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</si>
  <si>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</si>
  <si>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</si>
  <si>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</si>
  <si>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</si>
  <si>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</si>
  <si>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</si>
  <si>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</si>
  <si>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</si>
  <si>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</si>
  <si>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</si>
  <si>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</si>
  <si>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</si>
  <si>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</si>
  <si>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</si>
  <si>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</si>
  <si>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</si>
  <si>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</si>
  <si>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</si>
  <si>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</si>
  <si>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</si>
  <si>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</si>
  <si>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</si>
  <si>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</si>
  <si>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</si>
  <si>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</si>
  <si>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</si>
  <si>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</si>
  <si>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</si>
  <si>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</si>
  <si>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</si>
  <si>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</si>
  <si>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</si>
  <si>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</si>
  <si>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</si>
  <si>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</si>
  <si>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</si>
  <si>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</si>
  <si>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</si>
  <si>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</si>
  <si>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</si>
  <si>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</si>
  <si>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</si>
  <si>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</si>
  <si>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</si>
  <si>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</si>
  <si>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</si>
  <si>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</si>
  <si>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</si>
  <si>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</si>
  <si>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</si>
  <si>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OBRA</t>
  </si>
  <si>
    <t>UBICACIÓN</t>
  </si>
  <si>
    <t>UNIDAD</t>
  </si>
  <si>
    <t>$ Un.</t>
  </si>
  <si>
    <t>MANO DE OBRA</t>
  </si>
  <si>
    <t>EQUIPOS</t>
  </si>
  <si>
    <t xml:space="preserve">                                                                                                       ANALISIS DE PRECIOS</t>
  </si>
  <si>
    <t>PRECIOS OFERTA A:</t>
  </si>
  <si>
    <t>A- )</t>
  </si>
  <si>
    <t>Subtotal</t>
  </si>
  <si>
    <t>BENEFICIOS</t>
  </si>
  <si>
    <t>IMPUESTOS</t>
  </si>
  <si>
    <t>I.V.A VIVIENDA</t>
  </si>
  <si>
    <t>INGRESOS BRUTOS VIVIENDA</t>
  </si>
  <si>
    <t>MONTO TOTAL DE LA OFERTA</t>
  </si>
  <si>
    <t>Importante:</t>
  </si>
  <si>
    <t>Los cómputos son indicativos.</t>
  </si>
  <si>
    <t>Los proponentes deberán verificar los cómputos oficiales.</t>
  </si>
  <si>
    <t>DATOS PROTOTIPO P6</t>
  </si>
  <si>
    <t>G (SEGUNDO PISO)</t>
  </si>
  <si>
    <t>DATOS PROTOTIPO P7</t>
  </si>
  <si>
    <t>DATOS ESPACIOS COMUNES</t>
  </si>
  <si>
    <t>DATOS URBANIZACIÓN - NEXO - DOCUMENTACIÓN FINAL DE OBRA - OBRA COMPLEMENTARIA</t>
  </si>
  <si>
    <t>DATOS PROTOTIPO AP-OE-02-VP-2021</t>
  </si>
  <si>
    <t>DATOS PROTOTIPO AP NS 2021</t>
  </si>
  <si>
    <t>DATOS PROTOTIPO AP SN 2021</t>
  </si>
  <si>
    <t>DATOS PROTOTIPO AP OE-01-D- 2021</t>
  </si>
  <si>
    <t>DATOS PROTOTIPO AP OE 2021</t>
  </si>
  <si>
    <t>La numeración de los items debe ser correlativa, seguida y sin salteos. No puede existir un item cuyo valor sea 0 (cero)</t>
  </si>
  <si>
    <r>
      <t>Sup: 63,10 m</t>
    </r>
    <r>
      <rPr>
        <b/>
        <vertAlign val="superscript"/>
        <sz val="10"/>
        <rFont val="Arial"/>
        <family val="2"/>
      </rPr>
      <t>2</t>
    </r>
  </si>
  <si>
    <t>Sup: 63,10 m2</t>
  </si>
  <si>
    <t>20.1</t>
  </si>
  <si>
    <t>Curva máxima</t>
  </si>
  <si>
    <t>Cuva mínima</t>
  </si>
  <si>
    <t>Limpieza general, incluye desmalezamiento, demolición de construcciones existentes</t>
  </si>
  <si>
    <t>LAN 1</t>
  </si>
  <si>
    <t>LAN 2</t>
  </si>
  <si>
    <t>LAN 3</t>
  </si>
  <si>
    <t>LAN 4</t>
  </si>
  <si>
    <t>LAN 5</t>
  </si>
  <si>
    <t>LAN 6</t>
  </si>
  <si>
    <t>CANTIDAD DEPARTAMENTOS</t>
  </si>
  <si>
    <t>Excavacion de Subsuelo</t>
  </si>
  <si>
    <t>Replanteo y niveles</t>
  </si>
  <si>
    <t>Mampostería interior - Tabique Liviano</t>
  </si>
  <si>
    <t xml:space="preserve">TRABAJOS PRELIMINARES </t>
  </si>
  <si>
    <t>MOVIMIENTO DE SUELOS</t>
  </si>
  <si>
    <t>FUNDACIONES</t>
  </si>
  <si>
    <t>Hº - Bases aisladas y vigas de arriostramiento</t>
  </si>
  <si>
    <t>Aº - Bases aisladas y vigas de arriostramiento</t>
  </si>
  <si>
    <t>ESTRUCTURA RESISTENTE</t>
  </si>
  <si>
    <t>1.1</t>
  </si>
  <si>
    <t>2.1</t>
  </si>
  <si>
    <t>ALBAÑILERÍA | CERRAMIENTOS VERTICALES</t>
  </si>
  <si>
    <t>Mampostería exterior -  Muro de ladrillo ceramico hueco</t>
  </si>
  <si>
    <t>AISLACIONES Y REVOQUES</t>
  </si>
  <si>
    <t>Aislación hidrófuga horizontal en muros PB (cajón)</t>
  </si>
  <si>
    <t>Revoque grueso bajo revestimiento en locales húmedos</t>
  </si>
  <si>
    <t xml:space="preserve">Revoque  y enlucido interior </t>
  </si>
  <si>
    <t>Revoque exterior</t>
  </si>
  <si>
    <t>Cerámico Cocina y baño</t>
  </si>
  <si>
    <t>PINTURA</t>
  </si>
  <si>
    <t xml:space="preserve">Pintura látex antihongos                                                                                                                                                                   </t>
  </si>
  <si>
    <t>Pintura al látex en muros</t>
  </si>
  <si>
    <t>Pintura al látex en cielorrasos</t>
  </si>
  <si>
    <t>Pintura al látex exterioren muros</t>
  </si>
  <si>
    <t>Pintura esmalte sintético carpinterías de chapa</t>
  </si>
  <si>
    <t>Pintura esmalte sintético carpinterías de madera</t>
  </si>
  <si>
    <t>3.1</t>
  </si>
  <si>
    <t>3.2</t>
  </si>
  <si>
    <t>4.1</t>
  </si>
  <si>
    <t>4.2</t>
  </si>
  <si>
    <t>4.3</t>
  </si>
  <si>
    <t>4.4</t>
  </si>
  <si>
    <t>5.1</t>
  </si>
  <si>
    <t>5.2</t>
  </si>
  <si>
    <t>6.1</t>
  </si>
  <si>
    <t>6.2</t>
  </si>
  <si>
    <t>6.3</t>
  </si>
  <si>
    <t>6.4</t>
  </si>
  <si>
    <t>7.1</t>
  </si>
  <si>
    <t>8.1</t>
  </si>
  <si>
    <t>8.2</t>
  </si>
  <si>
    <t>8.3</t>
  </si>
  <si>
    <t>8.4</t>
  </si>
  <si>
    <t>8.5</t>
  </si>
  <si>
    <t>8.6</t>
  </si>
  <si>
    <t xml:space="preserve">Contrapiso sobre losa de HºPº esp= 8cm </t>
  </si>
  <si>
    <t>Contrapiso para terrazas o azoteas con pendiente según documentación de Proyecto</t>
  </si>
  <si>
    <t>Banquina bajo mueble de cocina</t>
  </si>
  <si>
    <t>CONTRAPISOS y CARPETAS</t>
  </si>
  <si>
    <t xml:space="preserve">Carpeta bajo ceramico </t>
  </si>
  <si>
    <t xml:space="preserve">PISOS Y ZOCALOS </t>
  </si>
  <si>
    <t>Piso ceramico de primera calidad</t>
  </si>
  <si>
    <t>Zocalo ceramico</t>
  </si>
  <si>
    <t xml:space="preserve">CIELORRASOS  </t>
  </si>
  <si>
    <t>Cielorraso aplicado enlucido de yeso</t>
  </si>
  <si>
    <t>Suspendidos de placa de roca de yeso resistente a la humedad ( con proteccion acustica)</t>
  </si>
  <si>
    <t>9.1</t>
  </si>
  <si>
    <t>9.2</t>
  </si>
  <si>
    <t>9.3</t>
  </si>
  <si>
    <t>9.4</t>
  </si>
  <si>
    <t>10.1</t>
  </si>
  <si>
    <t>10.2</t>
  </si>
  <si>
    <t>11.1</t>
  </si>
  <si>
    <t>11.2</t>
  </si>
  <si>
    <t>2.2</t>
  </si>
  <si>
    <t xml:space="preserve">CUBIERTA </t>
  </si>
  <si>
    <t>Hormigón Liviano con Pendiente | esp min 5 cm</t>
  </si>
  <si>
    <t>Pintura asfáltica para imprimación de membrana</t>
  </si>
  <si>
    <t>Membrana Asfáltica 4mm terminación aluminio gofrado de 40 micrones</t>
  </si>
  <si>
    <t>Carpinterías interiores de madera</t>
  </si>
  <si>
    <t>Puerta de ingreso a vivienda (2.05 x 0.9)</t>
  </si>
  <si>
    <t>MARMOLERÍA</t>
  </si>
  <si>
    <t>Mesada de cocina en granito</t>
  </si>
  <si>
    <t>INSTALACIÓN ELÉCTRICA</t>
  </si>
  <si>
    <t>Tablero principal</t>
  </si>
  <si>
    <t>Tablero secundarios</t>
  </si>
  <si>
    <t>Bocas iluminación UF</t>
  </si>
  <si>
    <t>Bocas iluminación Uc</t>
  </si>
  <si>
    <t>Boca toma corriente uso común</t>
  </si>
  <si>
    <t>Llaves</t>
  </si>
  <si>
    <t xml:space="preserve">Boca teléfono, timbre, TV y portero </t>
  </si>
  <si>
    <t>Instalacion equipo luz de emergencia en espacios comunes</t>
  </si>
  <si>
    <t>Servicios generales / pat</t>
  </si>
  <si>
    <t>Instalación aire acondicionado</t>
  </si>
  <si>
    <t xml:space="preserve">Artefactos en locales comunes </t>
  </si>
  <si>
    <t>Canalizacion y cableado de comando calefon solar</t>
  </si>
  <si>
    <t>INSTALACIÓN SANITARIA</t>
  </si>
  <si>
    <t>Instalación agua fría y caliente</t>
  </si>
  <si>
    <t>Desagües Cloacales</t>
  </si>
  <si>
    <t>Desagües Pluviales</t>
  </si>
  <si>
    <t>Desagüe aire acondicionado</t>
  </si>
  <si>
    <t xml:space="preserve">Artefactos sanitarios  </t>
  </si>
  <si>
    <t>Griferia de sanitario y cocina</t>
  </si>
  <si>
    <t>Accesorios de sanitarios</t>
  </si>
  <si>
    <t>Tanque de bombeo (5000 litros)</t>
  </si>
  <si>
    <t xml:space="preserve">Tanque de reserva (5000 litros) </t>
  </si>
  <si>
    <t>INSTALACIÓN CONTRA INCENDIO TOTAL</t>
  </si>
  <si>
    <t>Tanque de reserva   PRFV 5000 LTS</t>
  </si>
  <si>
    <t>Extintores ABC 5 kg</t>
  </si>
  <si>
    <t>Hidrantes con caja lanza y martillo</t>
  </si>
  <si>
    <t>Manguera para incendio diametro 38,long 25 metros</t>
  </si>
  <si>
    <t xml:space="preserve">Bomba Joker </t>
  </si>
  <si>
    <t>Luces de Emergencia</t>
  </si>
  <si>
    <t>Cañeria HG 75 mm</t>
  </si>
  <si>
    <t>Cañeria HG 63 mm</t>
  </si>
  <si>
    <t>Cañeria HG 50 mm</t>
  </si>
  <si>
    <t>Valvulas Esclusas de bronce dim 45</t>
  </si>
  <si>
    <t>Valvulas Esclusas de bronce dim 38</t>
  </si>
  <si>
    <t>Caja de Impulsion con llave esferica de 2" (60x40)</t>
  </si>
  <si>
    <t>Tambor con arena de 200 lts</t>
  </si>
  <si>
    <t>INSTALACION ELECTROMECANICA</t>
  </si>
  <si>
    <t>Instalación electromagnética</t>
  </si>
  <si>
    <t>CONDUCTOS Y VENTILACIONES</t>
  </si>
  <si>
    <t>Rejilla ventilación baños</t>
  </si>
  <si>
    <t>12.1</t>
  </si>
  <si>
    <t>12.2</t>
  </si>
  <si>
    <t>12.3</t>
  </si>
  <si>
    <t>13.1</t>
  </si>
  <si>
    <t>13.2</t>
  </si>
  <si>
    <t>13.3</t>
  </si>
  <si>
    <t>13.4</t>
  </si>
  <si>
    <t>14.1</t>
  </si>
  <si>
    <t>15.1</t>
  </si>
  <si>
    <t>15.2</t>
  </si>
  <si>
    <t>15.3</t>
  </si>
  <si>
    <t>15.4</t>
  </si>
  <si>
    <t>15.5</t>
  </si>
  <si>
    <t>15.6</t>
  </si>
  <si>
    <t>15.7</t>
  </si>
  <si>
    <t>15.8</t>
  </si>
  <si>
    <t>15.9</t>
  </si>
  <si>
    <t>15.10</t>
  </si>
  <si>
    <t>15.11</t>
  </si>
  <si>
    <t>15.12</t>
  </si>
  <si>
    <t>15.13</t>
  </si>
  <si>
    <t>16.1</t>
  </si>
  <si>
    <t>16.2</t>
  </si>
  <si>
    <t>16.3</t>
  </si>
  <si>
    <t>16.4</t>
  </si>
  <si>
    <t>16.5</t>
  </si>
  <si>
    <t>16.6</t>
  </si>
  <si>
    <t>16.7</t>
  </si>
  <si>
    <t>16.8</t>
  </si>
  <si>
    <t>16.9</t>
  </si>
  <si>
    <t>17.1</t>
  </si>
  <si>
    <t>17.2</t>
  </si>
  <si>
    <t>17.3</t>
  </si>
  <si>
    <t>17.4</t>
  </si>
  <si>
    <t>17.5</t>
  </si>
  <si>
    <t>17.6</t>
  </si>
  <si>
    <t>17.7</t>
  </si>
  <si>
    <t>17.8</t>
  </si>
  <si>
    <t>17.9</t>
  </si>
  <si>
    <t>17.10</t>
  </si>
  <si>
    <t>17.11</t>
  </si>
  <si>
    <t>17.12</t>
  </si>
  <si>
    <t>17.13</t>
  </si>
  <si>
    <t>17.14</t>
  </si>
  <si>
    <t>18.1</t>
  </si>
  <si>
    <t>18.2</t>
  </si>
  <si>
    <t>19.1</t>
  </si>
  <si>
    <t>ESPACIOS COMUNES</t>
  </si>
  <si>
    <t>Contrapisos de H° A° - Esp. 0,10m. (incluye solo Torre con 9 niveles)</t>
  </si>
  <si>
    <t>Contrapisos de H° A° - Esp. 0,10m. (incluye Estacionamientos, Sala de Máquinas y Bombeo en Subsuelo)</t>
  </si>
  <si>
    <t>Escalera de H° A° (incluye solo Torre con 9 niveles)</t>
  </si>
  <si>
    <t>Areas verdes (gramineas) en panes (incluye todo los espacios verdes del predio Planta Baja y Subsuelo)</t>
  </si>
  <si>
    <t>Especies arbóreas (incluyen todas las que se encuentran en el predio Planta Baja y Subsuelo)</t>
  </si>
  <si>
    <t>Rampas Vehiculares (Planta Baja-Subsuelo)</t>
  </si>
  <si>
    <t>Rampas Peatonales (Planta Baja)</t>
  </si>
  <si>
    <t>Pisos de hormigón llaneado y rodillado (Senderos) (incluye en todo el predio de Planta Baja)</t>
  </si>
  <si>
    <t>Barandas metálicas en escaleras, rampas peatonales, balcones y pasillos</t>
  </si>
  <si>
    <t>Bancos en espacios verdes (H° A° y listones de madera)</t>
  </si>
  <si>
    <t>Instalación eléctrica (Cableado)</t>
  </si>
  <si>
    <t>Alimentación en baja tensión (Conexión a red, medidor y pilar reglam.)</t>
  </si>
  <si>
    <t>Bocas iluminación espacio comun</t>
  </si>
  <si>
    <t>Boca iluminacion espacio verde</t>
  </si>
  <si>
    <t>Cañerias</t>
  </si>
  <si>
    <t>Conectores y uniones</t>
  </si>
  <si>
    <t>Subterraneo</t>
  </si>
  <si>
    <t>Caño Ø160</t>
  </si>
  <si>
    <t>Caño Ø110</t>
  </si>
  <si>
    <t>Cámara de inspección 60x60</t>
  </si>
  <si>
    <t>Ramal Y Ø110</t>
  </si>
  <si>
    <t>Codo a 90° Ø110</t>
  </si>
  <si>
    <t>Conexiones domiciliarias PEAD PN 16 Ø25 (incluye accesorios y kit de conexión)</t>
  </si>
  <si>
    <t xml:space="preserve">Llaves de paso Ø25 </t>
  </si>
  <si>
    <t>Cañería PPL Ø25 (incluye accesorios)</t>
  </si>
  <si>
    <t>20.2</t>
  </si>
  <si>
    <t>20.3</t>
  </si>
  <si>
    <t>20.4</t>
  </si>
  <si>
    <t>20.5</t>
  </si>
  <si>
    <t>20.6</t>
  </si>
  <si>
    <t>20.7</t>
  </si>
  <si>
    <t>20.8</t>
  </si>
  <si>
    <t>20.9</t>
  </si>
  <si>
    <t>20.10</t>
  </si>
  <si>
    <t>20.11</t>
  </si>
  <si>
    <t>20.12</t>
  </si>
  <si>
    <t>20.13</t>
  </si>
  <si>
    <t>21.1</t>
  </si>
  <si>
    <t>21.2</t>
  </si>
  <si>
    <t>21.3</t>
  </si>
  <si>
    <t>21.4</t>
  </si>
  <si>
    <t>21.5</t>
  </si>
  <si>
    <t>21.6</t>
  </si>
  <si>
    <t>21.7</t>
  </si>
  <si>
    <t>21.8</t>
  </si>
  <si>
    <t>21.9</t>
  </si>
  <si>
    <t>22.1</t>
  </si>
  <si>
    <t>22.2</t>
  </si>
  <si>
    <t>22.3</t>
  </si>
  <si>
    <t>22.4</t>
  </si>
  <si>
    <t>22.5</t>
  </si>
  <si>
    <t>23.1</t>
  </si>
  <si>
    <t>23.2</t>
  </si>
  <si>
    <t>23.3</t>
  </si>
  <si>
    <t>DEPARTAMENTOS</t>
  </si>
  <si>
    <t>Ventanas Tipo C02(2,40 x 1,55)</t>
  </si>
  <si>
    <t>Ventanas Tipo C05 (1,20 x 1,55)</t>
  </si>
  <si>
    <t>Contrapisos de H° A° - Esp. 0,10m. (incluye solo Bloque Sur y Bloque Oeste con 5 niveles)</t>
  </si>
  <si>
    <t>Escalera de H° A° (incluye solo Bloque Sur y Bloque Oeste con 5 niveles)</t>
  </si>
  <si>
    <t>20.14</t>
  </si>
  <si>
    <t>20.15</t>
  </si>
  <si>
    <t>Acero para losas</t>
  </si>
  <si>
    <t>Acero para vigas</t>
  </si>
  <si>
    <t>Acero para columnas</t>
  </si>
  <si>
    <t>Acero para escaleras exteriores</t>
  </si>
  <si>
    <t>estructura metalica de espacios comunes y chapa exterior</t>
  </si>
  <si>
    <t>Hormigon resistente H-30</t>
  </si>
  <si>
    <t>Hormigon para encadenados H-17</t>
  </si>
  <si>
    <t>chapa lisa en gabinetes</t>
  </si>
  <si>
    <t>ESPACIOS COMUNES - INSTALACION ELECTRICA</t>
  </si>
  <si>
    <t>ESPACIOS COMUNES - INSTALACIONES SANITARIAS</t>
  </si>
  <si>
    <t>ESPACIOS COMUNES - CONEXIONES TANQUE Y CISTERNA</t>
  </si>
  <si>
    <t>Subestaciones (Torre)</t>
  </si>
  <si>
    <t>Subestaciones (Alas)</t>
  </si>
  <si>
    <t>21.10</t>
  </si>
  <si>
    <t xml:space="preserve">chapa micro perforada </t>
  </si>
  <si>
    <t>4.5</t>
  </si>
  <si>
    <t>4.6</t>
  </si>
  <si>
    <t>4.7</t>
  </si>
  <si>
    <t>4.8</t>
  </si>
  <si>
    <t>4.9</t>
  </si>
  <si>
    <t>4.10</t>
  </si>
  <si>
    <t>4.11</t>
  </si>
  <si>
    <t>Hormigon para escaleras exteriores</t>
  </si>
  <si>
    <t>Hormigon para Losas H-21</t>
  </si>
  <si>
    <t>4.12</t>
  </si>
  <si>
    <t>Ascensor Electromagnetico Cap.450 kg Ancho 1100 x 1300 cm (Torre 9 niveles)</t>
  </si>
  <si>
    <t>18.3</t>
  </si>
  <si>
    <t>Ascensor Electromagnetico Cap.450 kg Ancho 1100 x 1300 cm  (Ala 5 niveles)</t>
  </si>
  <si>
    <t>Cajas de Escalera y Ascensor (Torre 9 niveles)</t>
  </si>
  <si>
    <t>Cajas de Escalera y Ascensor (Alas 5 niveles)</t>
  </si>
  <si>
    <t>Pisos</t>
  </si>
  <si>
    <t xml:space="preserve">Bomba de 15 hp </t>
  </si>
  <si>
    <t>CAPITAL</t>
  </si>
  <si>
    <t>LA NAVE - 103 DEPARTAMENTOS - CAPITAL</t>
  </si>
  <si>
    <t>6-</t>
  </si>
  <si>
    <t xml:space="preserve">DEPARTAMENTOS </t>
  </si>
  <si>
    <t>Departamento Tipo LAN 1</t>
  </si>
  <si>
    <t>Departamento Tipo LAN 2</t>
  </si>
  <si>
    <t>Departamento Tipo LAN 3</t>
  </si>
  <si>
    <t>Departamento Tipo LAN 4</t>
  </si>
  <si>
    <t>Departamento Tipo LAN 5</t>
  </si>
  <si>
    <t>Departamento Tipo LAN 6</t>
  </si>
  <si>
    <t>B- )</t>
  </si>
  <si>
    <t>Espacios Comunes Torre</t>
  </si>
  <si>
    <t>Espacios Comunes Alas</t>
  </si>
  <si>
    <t>ESPACIOS COMUNES TORRE</t>
  </si>
  <si>
    <t>ESPACIOS COMUNES BLOQUES SUR Y OESTE</t>
  </si>
  <si>
    <t>C- )</t>
  </si>
  <si>
    <t>SUBTOTAL COSTOS DIRECTOS (Departamentos, Espacios Comunes y Proyecto Ejecutivo)</t>
  </si>
  <si>
    <t>Elaboración de Proyecto Ejecutivo</t>
  </si>
  <si>
    <t>UVIS</t>
  </si>
  <si>
    <t/>
  </si>
  <si>
    <t>INSUMOS</t>
  </si>
  <si>
    <t>Son UVIS: …......................................................................................................................................................... (no incluye IVA)-  al dia 30/11/2022</t>
  </si>
  <si>
    <t>Son UVIS: …................................................................................................................................. (no incluye IVA)- al dia 30/11/2022</t>
  </si>
  <si>
    <t>Son Pesos:….................................................................................................................................................................................. con 00/100 mas IVA</t>
  </si>
  <si>
    <t>xxxxxxx</t>
  </si>
  <si>
    <t>xxxxxxxxx</t>
  </si>
  <si>
    <t>LICITACION PUBLICA IPV N° 01/2023</t>
  </si>
  <si>
    <t>501-004285-2022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</si>
</sst>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4" formatCode="_-&quot;$&quot;* #,##0.00_-;\-&quot;$&quot;* #,##0.00_-;_-&quot;$&quot;* &quot;-&quot;??_-;_-@_-"/>
    <numFmt numFmtId="43" formatCode="_-* #,##0.00_-;\-* #,##0.00_-;_-* &quot;-&quot;??_-;_-@_-"/>
    <numFmt numFmtId="164" formatCode="&quot;$&quot;\ #,##0;\-&quot;$&quot;\ #,##0"/>
    <numFmt numFmtId="165" formatCode="&quot;$&quot;\ #,##0.00;\-&quot;$&quot;\ #,##0.00"/>
    <numFmt numFmtId="166" formatCode="_-&quot;$&quot;\ * #,##0.00_-;\-&quot;$&quot;\ * #,##0.00_-;_-&quot;$&quot;\ * &quot;-&quot;??_-;_-@_-"/>
    <numFmt numFmtId="167" formatCode="&quot;$&quot;\ #,##0;&quot;$&quot;\ \-#,##0"/>
    <numFmt numFmtId="168" formatCode="&quot;$&quot;\ #,##0.00;&quot;$&quot;\ \-#,##0.00"/>
    <numFmt numFmtId="169" formatCode="&quot;$&quot;\ #,##0.00;[Red]&quot;$&quot;\ \-#,##0.00"/>
    <numFmt numFmtId="170" formatCode="_ &quot;$&quot;\ * #,##0.00_ ;_ &quot;$&quot;\ * \-#,##0.00_ ;_ &quot;$&quot;\ * &quot;-&quot;??_ ;_ @_ "/>
    <numFmt numFmtId="171" formatCode="_ * #,##0.00_ ;_ * \-#,##0.00_ ;_ * &quot;-&quot;??_ ;_ @_ "/>
    <numFmt numFmtId="172" formatCode="0.0000%"/>
    <numFmt numFmtId="173" formatCode="#,"/>
    <numFmt numFmtId="174" formatCode="#,#00"/>
    <numFmt numFmtId="175" formatCode="#.##000"/>
    <numFmt numFmtId="176" formatCode="\$#,#00"/>
    <numFmt numFmtId="177" formatCode="#,#00\ &quot;dias corridos&quot;"/>
    <numFmt numFmtId="178" formatCode="0.000%"/>
    <numFmt numFmtId="179" formatCode="&quot;Mes &quot;#,#00\ "/>
    <numFmt numFmtId="180" formatCode="0.0\ &quot;km&quot;"/>
    <numFmt numFmtId="181" formatCode="0000"/>
    <numFmt numFmtId="182" formatCode="&quot;$&quot;\ #,##0.00"/>
    <numFmt numFmtId="183" formatCode="_ &quot;$&quot;\ * #,##0.00_ ;_ &quot;$&quot;\ * \-#,##0.00_ ;_ @_ "/>
    <numFmt numFmtId="184" formatCode="_-&quot;$&quot;* #,##0.00_-;\-&quot;$&quot;* #,##0.00_-;_-@_-"/>
    <numFmt numFmtId="185" formatCode="_ [$€-2]\ * #,##0.00_ ;_ [$€-2]\ * \-#,##0.00_ ;_ [$€-2]\ * &quot;-&quot;??_ "/>
    <numFmt numFmtId="186" formatCode="d\-mmmm\-yyyy"/>
    <numFmt numFmtId="187" formatCode="_-* #,##0.00\ _€_-;\-* #,##0.00\ _€_-;_-* &quot;-&quot;??\ _€_-;_-@_-"/>
    <numFmt numFmtId="188" formatCode="#,##0.0"/>
    <numFmt numFmtId="189" formatCode="#,#00\ &quot;viviendas&quot;"/>
    <numFmt numFmtId="190" formatCode="0.00000%"/>
    <numFmt numFmtId="191" formatCode="_(* #,##0.00_);_(* \(#,##0.00\);_(* &quot;-&quot;??_);_(@_)"/>
    <numFmt numFmtId="192" formatCode="&quot;$&quot;#,##0_);\(&quot;$&quot;#,##0\)"/>
    <numFmt numFmtId="193" formatCode="&quot;Obra: &quot;"/>
    <numFmt numFmtId="194" formatCode="0.0000"/>
    <numFmt numFmtId="195" formatCode="_ &quot;$&quot;\ * #,##0.00000_ ;_ &quot;$&quot;\ * \-#,##0.00000_ ;_ &quot;$&quot;\ * &quot;-&quot;??_ ;_ @_ "/>
    <numFmt numFmtId="196" formatCode="&quot;$&quot;#,##0.00"/>
    <numFmt numFmtId="197" formatCode="_-&quot;$&quot;* #,##0.000000000_-;\-&quot;$&quot;* #,##0.000000000_-;_-&quot;$&quot;* &quot;-&quot;??_-;_-@_-"/>
    <numFmt numFmtId="198" formatCode="0.0000000%"/>
    <numFmt numFmtId="199" formatCode="0.0000000000%"/>
    <numFmt numFmtId="200" formatCode="#,#00\ &quot;espacios comunes&quot;"/>
    <numFmt numFmtId="201" formatCode="#,#00\ &quot;departamentos&quot;"/>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b/>
      <u val="double"/>
      <sz val="10"/>
      <name val="Arial"/>
      <family val="2"/>
    </font>
    <font>
      <b/>
      <sz val="11"/>
      <name val="Arial"/>
      <family val="2"/>
    </font>
    <font>
      <sz val="16"/>
      <name val="Arial"/>
      <family val="2"/>
    </font>
    <font>
      <b/>
      <sz val="28"/>
      <name val="Arial"/>
      <family val="2"/>
    </font>
    <font>
      <sz val="28"/>
      <name val="Arial"/>
      <family val="2"/>
    </font>
    <font>
      <sz val="8"/>
      <name val="Arial"/>
      <family val="2"/>
    </font>
    <font>
      <sz val="11"/>
      <color rgb="FF000000"/>
      <name val="Calibri"/>
      <family val="2"/>
    </font>
    <font>
      <b/>
      <vertAlign val="superscript"/>
      <sz val="10"/>
      <name val="Arial"/>
      <family val="2"/>
    </font>
    <font>
      <sz val="8"/>
      <name val="Arial"/>
      <family val="2"/>
    </font>
    <font>
      <b/>
      <sz val="11"/>
      <color theme="0"/>
      <name val="Arial"/>
      <family val="2"/>
    </font>
    <font>
      <b/>
      <sz val="16"/>
      <color theme="0"/>
      <name val="Arial"/>
      <family val="2"/>
    </font>
  </fonts>
  <fills count="1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1E63AE"/>
        <bgColor indexed="64"/>
      </patternFill>
    </fill>
    <fill>
      <patternFill patternType="solid">
        <fgColor theme="0" tint="-0.14999847407452621"/>
        <bgColor indexed="64"/>
      </patternFill>
    </fill>
  </fills>
  <borders count="60">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8">
    <xf numFmtId="0" fontId="0" fillId="0" borderId="0"/>
    <xf numFmtId="9" fontId="8" fillId="0" borderId="0" applyFont="0" applyFill="0" applyBorder="0" applyAlignment="0" applyProtection="0"/>
    <xf numFmtId="44" fontId="17" fillId="0" borderId="0" applyFont="0" applyFill="0" applyBorder="0" applyAlignment="0" applyProtection="0"/>
    <xf numFmtId="0" fontId="7" fillId="0" borderId="0"/>
    <xf numFmtId="9" fontId="7" fillId="0" borderId="0" applyFont="0" applyFill="0" applyBorder="0" applyAlignment="0" applyProtection="0"/>
    <xf numFmtId="0" fontId="19" fillId="0" borderId="0"/>
    <xf numFmtId="0" fontId="9" fillId="0" borderId="0"/>
    <xf numFmtId="0" fontId="21" fillId="0" borderId="0">
      <protection locked="0"/>
    </xf>
    <xf numFmtId="173" fontId="22" fillId="0" borderId="0">
      <protection locked="0"/>
    </xf>
    <xf numFmtId="173" fontId="22" fillId="0" borderId="0">
      <protection locked="0"/>
    </xf>
    <xf numFmtId="0" fontId="9" fillId="0" borderId="0" applyFont="0" applyFill="0" applyBorder="0" applyAlignment="0" applyProtection="0"/>
    <xf numFmtId="174" fontId="21" fillId="0" borderId="0">
      <protection locked="0"/>
    </xf>
    <xf numFmtId="175" fontId="21" fillId="0" borderId="0">
      <protection locked="0"/>
    </xf>
    <xf numFmtId="176" fontId="21" fillId="0" borderId="0">
      <protection locked="0"/>
    </xf>
    <xf numFmtId="0" fontId="23" fillId="0" borderId="0"/>
    <xf numFmtId="9" fontId="6"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71"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71" fontId="9" fillId="0" borderId="0" applyFon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185" fontId="9"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6" fontId="9" fillId="0" borderId="0" applyFill="0" applyBorder="0" applyAlignment="0" applyProtection="0"/>
    <xf numFmtId="2" fontId="9" fillId="0" borderId="0" applyFill="0" applyBorder="0" applyAlignment="0" applyProtection="0"/>
    <xf numFmtId="171" fontId="29" fillId="0" borderId="0" applyFont="0" applyFill="0" applyBorder="0" applyAlignment="0" applyProtection="0"/>
    <xf numFmtId="187" fontId="9" fillId="0" borderId="0" applyFont="0" applyFill="0" applyBorder="0" applyAlignment="0" applyProtection="0"/>
    <xf numFmtId="171" fontId="29" fillId="0" borderId="0" applyFont="0" applyFill="0" applyBorder="0" applyAlignment="0" applyProtection="0"/>
    <xf numFmtId="43" fontId="4" fillId="0" borderId="0" applyFont="0" applyFill="0" applyBorder="0" applyAlignment="0" applyProtection="0"/>
    <xf numFmtId="170" fontId="29"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170" fontId="35" fillId="0" borderId="0" applyFont="0" applyFill="0" applyBorder="0" applyAlignment="0" applyProtection="0"/>
    <xf numFmtId="170" fontId="9" fillId="0" borderId="0" applyFont="0" applyFill="0" applyBorder="0" applyAlignment="0" applyProtection="0"/>
    <xf numFmtId="44" fontId="4" fillId="0" borderId="0" applyFont="0" applyFill="0" applyBorder="0" applyAlignment="0" applyProtection="0"/>
    <xf numFmtId="164" fontId="9" fillId="0" borderId="0" applyFill="0" applyBorder="0" applyAlignment="0" applyProtection="0"/>
    <xf numFmtId="168" fontId="9" fillId="0" borderId="0" applyFill="0" applyBorder="0" applyAlignment="0" applyProtection="0"/>
    <xf numFmtId="167" fontId="9" fillId="0" borderId="0" applyFill="0" applyBorder="0" applyAlignment="0" applyProtection="0"/>
    <xf numFmtId="0" fontId="9" fillId="0" borderId="0"/>
    <xf numFmtId="0" fontId="4" fillId="0" borderId="0"/>
    <xf numFmtId="0" fontId="4" fillId="0" borderId="0"/>
    <xf numFmtId="0" fontId="36" fillId="0" borderId="0"/>
    <xf numFmtId="0" fontId="37" fillId="0" borderId="0"/>
    <xf numFmtId="0" fontId="36" fillId="0" borderId="0"/>
    <xf numFmtId="0" fontId="9" fillId="0" borderId="0"/>
    <xf numFmtId="0" fontId="38" fillId="0" borderId="0"/>
    <xf numFmtId="0" fontId="9" fillId="0" borderId="0"/>
    <xf numFmtId="0" fontId="9" fillId="0" borderId="0"/>
    <xf numFmtId="0" fontId="4" fillId="0" borderId="0"/>
    <xf numFmtId="0" fontId="4" fillId="0" borderId="0"/>
    <xf numFmtId="0" fontId="38"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8"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9" fontId="3"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92"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cellStyleXfs>
  <cellXfs count="631">
    <xf numFmtId="0" fontId="0" fillId="0" borderId="0" xfId="0"/>
    <xf numFmtId="0" fontId="7" fillId="0" borderId="0" xfId="3"/>
    <xf numFmtId="0" fontId="0" fillId="0" borderId="0" xfId="0" applyAlignment="1" applyProtection="1">
      <alignment vertical="center"/>
      <protection hidden="1"/>
    </xf>
    <xf numFmtId="44" fontId="9" fillId="0" borderId="0" xfId="0" applyNumberFormat="1" applyFont="1" applyAlignment="1" applyProtection="1">
      <alignment vertical="center"/>
      <protection hidden="1"/>
    </xf>
    <xf numFmtId="172" fontId="9" fillId="0" borderId="9" xfId="1" applyNumberFormat="1" applyFont="1" applyFill="1" applyBorder="1" applyAlignment="1" applyProtection="1">
      <alignment vertical="center"/>
      <protection hidden="1"/>
    </xf>
    <xf numFmtId="172" fontId="13" fillId="0" borderId="9" xfId="1" applyNumberFormat="1" applyFont="1" applyFill="1" applyBorder="1" applyAlignment="1" applyProtection="1">
      <alignment vertical="center"/>
      <protection hidden="1"/>
    </xf>
    <xf numFmtId="0" fontId="12" fillId="0" borderId="0" xfId="6" applyFont="1" applyAlignment="1">
      <alignment vertical="center"/>
    </xf>
    <xf numFmtId="0" fontId="12" fillId="0" borderId="0" xfId="6" applyFont="1" applyAlignment="1">
      <alignment horizontal="center" vertical="center"/>
    </xf>
    <xf numFmtId="0" fontId="10" fillId="0" borderId="0" xfId="6" applyFont="1" applyAlignment="1">
      <alignment horizontal="center" vertical="center"/>
    </xf>
    <xf numFmtId="0" fontId="10" fillId="0" borderId="0" xfId="6" applyFont="1" applyAlignment="1">
      <alignment horizontal="center" vertical="center" wrapText="1"/>
    </xf>
    <xf numFmtId="0" fontId="10" fillId="0" borderId="0" xfId="6" applyFont="1" applyAlignment="1">
      <alignment vertical="center"/>
    </xf>
    <xf numFmtId="0" fontId="10" fillId="0" borderId="0" xfId="6" applyFont="1" applyAlignment="1">
      <alignment horizontal="right" vertical="center"/>
    </xf>
    <xf numFmtId="0" fontId="10" fillId="0" borderId="0" xfId="6" applyFont="1" applyAlignment="1">
      <alignment horizontal="left" vertical="center"/>
    </xf>
    <xf numFmtId="0" fontId="10" fillId="0" borderId="0" xfId="6" quotePrefix="1" applyFont="1" applyAlignment="1">
      <alignment horizontal="left" vertical="center"/>
    </xf>
    <xf numFmtId="0" fontId="10" fillId="0" borderId="0" xfId="18" applyFont="1" applyAlignment="1">
      <alignment vertical="center"/>
    </xf>
    <xf numFmtId="0" fontId="10" fillId="0" borderId="0" xfId="18" applyFont="1" applyAlignment="1">
      <alignment horizontal="center" vertical="center"/>
    </xf>
    <xf numFmtId="0" fontId="12" fillId="2" borderId="0" xfId="18" applyFont="1" applyFill="1" applyAlignment="1">
      <alignment vertical="center"/>
    </xf>
    <xf numFmtId="49" fontId="10" fillId="0" borderId="0" xfId="18" applyNumberFormat="1" applyFont="1" applyAlignment="1">
      <alignment vertical="center"/>
    </xf>
    <xf numFmtId="0" fontId="10" fillId="0" borderId="0" xfId="18" applyFont="1" applyAlignment="1">
      <alignment horizontal="left" vertical="center"/>
    </xf>
    <xf numFmtId="0" fontId="12" fillId="2" borderId="0" xfId="6" applyFont="1" applyFill="1" applyAlignment="1">
      <alignment vertical="center"/>
    </xf>
    <xf numFmtId="0" fontId="12" fillId="2" borderId="0" xfId="6" applyFont="1" applyFill="1" applyAlignment="1">
      <alignment horizontal="center" vertical="center"/>
    </xf>
    <xf numFmtId="0" fontId="10" fillId="2" borderId="0" xfId="6" applyFont="1" applyFill="1" applyAlignment="1">
      <alignment vertical="center"/>
    </xf>
    <xf numFmtId="0" fontId="10" fillId="2" borderId="0" xfId="6" quotePrefix="1" applyFont="1" applyFill="1" applyAlignment="1">
      <alignment horizontal="center" vertical="center"/>
    </xf>
    <xf numFmtId="0" fontId="10" fillId="2" borderId="0" xfId="6" quotePrefix="1" applyFont="1" applyFill="1" applyAlignment="1">
      <alignment horizontal="left" vertical="center"/>
    </xf>
    <xf numFmtId="0" fontId="10" fillId="2" borderId="0" xfId="6" applyFont="1" applyFill="1" applyAlignment="1">
      <alignment horizontal="center" vertical="center"/>
    </xf>
    <xf numFmtId="0" fontId="12" fillId="2" borderId="0" xfId="6" applyFont="1" applyFill="1" applyAlignment="1">
      <alignment horizontal="left" vertical="center"/>
    </xf>
    <xf numFmtId="0" fontId="10" fillId="2" borderId="0" xfId="6" applyFont="1" applyFill="1" applyAlignment="1">
      <alignment horizontal="right" vertical="center"/>
    </xf>
    <xf numFmtId="0" fontId="10" fillId="2" borderId="0" xfId="6" applyFont="1" applyFill="1" applyAlignment="1">
      <alignment horizontal="left" vertical="center"/>
    </xf>
    <xf numFmtId="0" fontId="10" fillId="2" borderId="0" xfId="18" applyFont="1" applyFill="1" applyAlignment="1">
      <alignment vertical="center"/>
    </xf>
    <xf numFmtId="0" fontId="10" fillId="2" borderId="0" xfId="18" applyFont="1" applyFill="1" applyAlignment="1">
      <alignment horizontal="center" vertical="center"/>
    </xf>
    <xf numFmtId="0" fontId="12" fillId="2" borderId="0" xfId="18" applyFont="1" applyFill="1" applyAlignment="1">
      <alignment horizontal="center" vertical="center"/>
    </xf>
    <xf numFmtId="0" fontId="10" fillId="2" borderId="0" xfId="18" quotePrefix="1" applyFont="1" applyFill="1" applyAlignment="1">
      <alignment horizontal="center" vertical="center"/>
    </xf>
    <xf numFmtId="0" fontId="10" fillId="2" borderId="0" xfId="18" quotePrefix="1" applyFont="1" applyFill="1" applyAlignment="1">
      <alignment horizontal="left" vertical="center"/>
    </xf>
    <xf numFmtId="0" fontId="12" fillId="2" borderId="0" xfId="18" applyFont="1" applyFill="1" applyAlignment="1">
      <alignment vertical="center" wrapText="1"/>
    </xf>
    <xf numFmtId="0" fontId="10" fillId="2" borderId="0" xfId="6" applyFont="1" applyFill="1" applyAlignment="1">
      <alignment horizontal="center" vertical="center" wrapText="1"/>
    </xf>
    <xf numFmtId="0" fontId="10" fillId="2" borderId="0" xfId="6" quotePrefix="1" applyFont="1" applyFill="1" applyAlignment="1">
      <alignment vertical="center"/>
    </xf>
    <xf numFmtId="1" fontId="12" fillId="2" borderId="0" xfId="18" applyNumberFormat="1" applyFont="1" applyFill="1" applyAlignment="1">
      <alignment vertical="center" wrapText="1"/>
    </xf>
    <xf numFmtId="1" fontId="12" fillId="2" borderId="0" xfId="18" applyNumberFormat="1" applyFont="1" applyFill="1" applyAlignment="1">
      <alignment horizontal="center" vertical="center" wrapText="1"/>
    </xf>
    <xf numFmtId="4" fontId="10" fillId="2" borderId="0" xfId="18" applyNumberFormat="1" applyFont="1" applyFill="1" applyAlignment="1">
      <alignment vertical="center"/>
    </xf>
    <xf numFmtId="1" fontId="12" fillId="2" borderId="0" xfId="18" applyNumberFormat="1" applyFont="1" applyFill="1" applyAlignment="1">
      <alignment horizontal="right" vertical="center"/>
    </xf>
    <xf numFmtId="4" fontId="12" fillId="2" borderId="0" xfId="18" applyNumberFormat="1" applyFont="1" applyFill="1" applyAlignment="1">
      <alignment vertical="center"/>
    </xf>
    <xf numFmtId="1" fontId="10" fillId="2" borderId="0" xfId="18" applyNumberFormat="1" applyFont="1" applyFill="1" applyAlignment="1">
      <alignment horizontal="right" vertical="center"/>
    </xf>
    <xf numFmtId="1" fontId="10" fillId="2" borderId="0" xfId="18" applyNumberFormat="1" applyFont="1" applyFill="1" applyAlignment="1">
      <alignment vertical="center"/>
    </xf>
    <xf numFmtId="1" fontId="10" fillId="2" borderId="0" xfId="18" applyNumberFormat="1" applyFont="1" applyFill="1" applyAlignment="1">
      <alignment horizontal="center" vertical="center"/>
    </xf>
    <xf numFmtId="0" fontId="10" fillId="2" borderId="0" xfId="18" applyFont="1" applyFill="1" applyAlignment="1">
      <alignment horizontal="center" vertical="center" wrapText="1"/>
    </xf>
    <xf numFmtId="49" fontId="10" fillId="2" borderId="0" xfId="18" applyNumberFormat="1" applyFont="1" applyFill="1" applyAlignment="1">
      <alignment horizontal="center" vertical="center"/>
    </xf>
    <xf numFmtId="1" fontId="10" fillId="0" borderId="0" xfId="18" applyNumberFormat="1" applyFont="1" applyAlignment="1">
      <alignment horizontal="center" vertical="center"/>
    </xf>
    <xf numFmtId="0" fontId="10" fillId="0" borderId="0" xfId="6" applyFont="1"/>
    <xf numFmtId="0" fontId="10" fillId="0" borderId="0" xfId="6" applyFont="1" applyAlignment="1">
      <alignment horizontal="center"/>
    </xf>
    <xf numFmtId="0" fontId="27" fillId="0" borderId="0" xfId="19" applyFont="1" applyAlignment="1">
      <alignment horizontal="center"/>
    </xf>
    <xf numFmtId="0" fontId="27" fillId="0" borderId="0" xfId="19" applyFont="1"/>
    <xf numFmtId="180" fontId="10" fillId="0" borderId="0" xfId="6" applyNumberFormat="1" applyFont="1" applyAlignment="1">
      <alignment horizontal="center" vertical="center"/>
    </xf>
    <xf numFmtId="0" fontId="28" fillId="0" borderId="0" xfId="19" applyFont="1" applyAlignment="1">
      <alignment vertical="center"/>
    </xf>
    <xf numFmtId="179" fontId="13" fillId="0" borderId="9" xfId="6" applyNumberFormat="1" applyFont="1" applyBorder="1" applyAlignment="1" applyProtection="1">
      <alignment horizontal="center" vertical="center"/>
      <protection hidden="1"/>
    </xf>
    <xf numFmtId="170" fontId="9" fillId="0" borderId="0" xfId="6" applyNumberFormat="1" applyAlignment="1" applyProtection="1">
      <alignment vertical="center"/>
      <protection hidden="1"/>
    </xf>
    <xf numFmtId="0" fontId="9" fillId="0" borderId="0" xfId="6" applyAlignment="1" applyProtection="1">
      <alignment vertical="center"/>
      <protection hidden="1"/>
    </xf>
    <xf numFmtId="0" fontId="30" fillId="0" borderId="0" xfId="18" applyFont="1" applyAlignment="1">
      <alignment vertical="center"/>
    </xf>
    <xf numFmtId="2" fontId="18" fillId="0" borderId="0" xfId="6" applyNumberFormat="1" applyFont="1" applyAlignment="1">
      <alignment horizontal="center" vertical="center"/>
    </xf>
    <xf numFmtId="2" fontId="18" fillId="0" borderId="0" xfId="6" applyNumberFormat="1" applyFont="1" applyAlignment="1">
      <alignment vertical="center"/>
    </xf>
    <xf numFmtId="0" fontId="14" fillId="0" borderId="0" xfId="6" applyFont="1" applyAlignment="1">
      <alignment horizontal="center" vertical="center"/>
    </xf>
    <xf numFmtId="0" fontId="31" fillId="0" borderId="0" xfId="18" applyFont="1" applyAlignment="1">
      <alignment vertical="center"/>
    </xf>
    <xf numFmtId="49" fontId="30" fillId="0" borderId="0" xfId="18" applyNumberFormat="1" applyFont="1" applyAlignment="1">
      <alignment horizontal="center" vertical="center"/>
    </xf>
    <xf numFmtId="0" fontId="18" fillId="0" borderId="0" xfId="6" applyFont="1" applyAlignment="1">
      <alignment horizontal="center" vertical="center"/>
    </xf>
    <xf numFmtId="0" fontId="18" fillId="0" borderId="0" xfId="6" applyFont="1" applyAlignment="1" applyProtection="1">
      <alignment horizontal="left" vertical="center"/>
      <protection hidden="1"/>
    </xf>
    <xf numFmtId="0" fontId="30" fillId="0" borderId="0" xfId="18" applyFont="1" applyAlignment="1">
      <alignment horizontal="center" vertical="center"/>
    </xf>
    <xf numFmtId="0" fontId="14" fillId="0" borderId="0" xfId="6" applyFont="1" applyAlignment="1">
      <alignment vertical="center"/>
    </xf>
    <xf numFmtId="0" fontId="18" fillId="0" borderId="0" xfId="6" applyFont="1" applyAlignment="1">
      <alignment vertical="center"/>
    </xf>
    <xf numFmtId="16" fontId="14" fillId="0" borderId="0" xfId="6" applyNumberFormat="1" applyFont="1" applyAlignment="1">
      <alignment horizontal="center" vertical="center"/>
    </xf>
    <xf numFmtId="0" fontId="32" fillId="0" borderId="0" xfId="6" applyFont="1" applyAlignment="1">
      <alignment horizontal="center" vertical="center"/>
    </xf>
    <xf numFmtId="0" fontId="13" fillId="0" borderId="0" xfId="6" applyFont="1" applyAlignment="1" applyProtection="1">
      <alignment horizontal="center" vertical="center" wrapText="1"/>
      <protection hidden="1"/>
    </xf>
    <xf numFmtId="172" fontId="13" fillId="0" borderId="27" xfId="1" applyNumberFormat="1" applyFont="1" applyFill="1" applyBorder="1" applyAlignment="1" applyProtection="1">
      <alignment vertical="center"/>
      <protection hidden="1"/>
    </xf>
    <xf numFmtId="0" fontId="9" fillId="0" borderId="9" xfId="0" applyFont="1" applyBorder="1" applyAlignment="1" applyProtection="1">
      <alignment horizontal="center" vertical="center"/>
      <protection hidden="1"/>
    </xf>
    <xf numFmtId="178" fontId="13" fillId="0" borderId="18" xfId="1" applyNumberFormat="1" applyFont="1" applyFill="1" applyBorder="1" applyAlignment="1" applyProtection="1">
      <alignment vertical="center"/>
      <protection hidden="1"/>
    </xf>
    <xf numFmtId="181" fontId="30" fillId="0" borderId="0" xfId="18" applyNumberFormat="1" applyFont="1" applyAlignment="1">
      <alignment horizontal="center" vertical="center"/>
    </xf>
    <xf numFmtId="0" fontId="9" fillId="0" borderId="12" xfId="0" applyFont="1" applyBorder="1" applyAlignment="1">
      <alignment horizontal="left" vertical="center"/>
    </xf>
    <xf numFmtId="0" fontId="9" fillId="0" borderId="0" xfId="0" applyFont="1" applyAlignment="1">
      <alignment vertical="center"/>
    </xf>
    <xf numFmtId="0" fontId="9" fillId="0" borderId="0" xfId="0" applyFont="1" applyAlignment="1">
      <alignment horizontal="center" vertical="center"/>
    </xf>
    <xf numFmtId="0" fontId="13" fillId="0" borderId="18" xfId="0" applyFont="1" applyBorder="1" applyAlignment="1" applyProtection="1">
      <alignment horizontal="center" vertical="center" wrapText="1"/>
      <protection hidden="1"/>
    </xf>
    <xf numFmtId="0" fontId="9" fillId="0" borderId="18" xfId="0" applyFont="1" applyBorder="1" applyAlignment="1" applyProtection="1">
      <alignment horizontal="left" vertical="center" wrapText="1"/>
      <protection hidden="1"/>
    </xf>
    <xf numFmtId="4" fontId="9" fillId="0" borderId="9" xfId="0" applyNumberFormat="1" applyFont="1" applyBorder="1" applyAlignment="1" applyProtection="1">
      <alignment horizontal="center" vertical="center"/>
      <protection hidden="1"/>
    </xf>
    <xf numFmtId="2" fontId="9" fillId="0" borderId="12" xfId="0" applyNumberFormat="1" applyFont="1" applyBorder="1" applyAlignment="1" applyProtection="1">
      <alignment horizontal="right" vertical="center" indent="1"/>
      <protection hidden="1"/>
    </xf>
    <xf numFmtId="183" fontId="9" fillId="0" borderId="9" xfId="2" applyNumberFormat="1" applyFont="1" applyFill="1" applyBorder="1" applyAlignment="1" applyProtection="1">
      <alignment vertical="center"/>
      <protection hidden="1"/>
    </xf>
    <xf numFmtId="44" fontId="0" fillId="0" borderId="0" xfId="0" applyNumberFormat="1" applyAlignment="1" applyProtection="1">
      <alignment vertical="center"/>
      <protection hidden="1"/>
    </xf>
    <xf numFmtId="10" fontId="13" fillId="0" borderId="0" xfId="0" applyNumberFormat="1" applyFont="1" applyAlignment="1" applyProtection="1">
      <alignment horizontal="left" vertical="center"/>
      <protection hidden="1"/>
    </xf>
    <xf numFmtId="10" fontId="13" fillId="0" borderId="0" xfId="0" applyNumberFormat="1" applyFont="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3" fillId="0" borderId="0" xfId="0" applyFont="1" applyAlignment="1" applyProtection="1">
      <alignment vertical="center"/>
      <protection hidden="1"/>
    </xf>
    <xf numFmtId="0" fontId="13" fillId="0" borderId="0" xfId="0" applyFont="1" applyAlignment="1" applyProtection="1">
      <alignment horizontal="left" vertical="center"/>
      <protection hidden="1"/>
    </xf>
    <xf numFmtId="0" fontId="15" fillId="0" borderId="0" xfId="0" applyFont="1" applyAlignment="1" applyProtection="1">
      <alignment horizontal="right" vertical="center"/>
      <protection hidden="1"/>
    </xf>
    <xf numFmtId="44" fontId="13" fillId="0" borderId="0" xfId="0" applyNumberFormat="1" applyFont="1" applyAlignment="1" applyProtection="1">
      <alignment vertical="center"/>
      <protection hidden="1"/>
    </xf>
    <xf numFmtId="0" fontId="9" fillId="0" borderId="0" xfId="0" applyFont="1" applyAlignment="1" applyProtection="1">
      <alignment vertical="center"/>
      <protection hidden="1"/>
    </xf>
    <xf numFmtId="184" fontId="13" fillId="0" borderId="9" xfId="2" applyNumberFormat="1" applyFont="1" applyFill="1" applyBorder="1" applyAlignment="1" applyProtection="1">
      <alignment vertical="center"/>
      <protection hidden="1"/>
    </xf>
    <xf numFmtId="184" fontId="9" fillId="0" borderId="9" xfId="2" applyNumberFormat="1" applyFont="1" applyFill="1" applyBorder="1" applyAlignment="1" applyProtection="1">
      <alignment vertical="center"/>
      <protection hidden="1"/>
    </xf>
    <xf numFmtId="0" fontId="13" fillId="0" borderId="0" xfId="6" applyFont="1" applyAlignment="1">
      <alignment vertical="center"/>
    </xf>
    <xf numFmtId="0" fontId="9" fillId="0" borderId="0" xfId="6" applyAlignment="1">
      <alignment vertical="center"/>
    </xf>
    <xf numFmtId="0" fontId="13" fillId="0" borderId="0" xfId="6" applyFont="1" applyAlignment="1">
      <alignment vertical="center" shrinkToFit="1"/>
    </xf>
    <xf numFmtId="2" fontId="9" fillId="0" borderId="0" xfId="0" applyNumberFormat="1" applyFont="1" applyAlignment="1">
      <alignment vertical="center"/>
    </xf>
    <xf numFmtId="0" fontId="13" fillId="0" borderId="0" xfId="0" applyFont="1" applyAlignment="1" applyProtection="1">
      <alignment horizontal="center" vertical="center"/>
      <protection hidden="1"/>
    </xf>
    <xf numFmtId="0" fontId="11" fillId="0" borderId="0" xfId="0" applyFont="1" applyAlignment="1" applyProtection="1">
      <alignment horizontal="left" vertical="center"/>
      <protection hidden="1"/>
    </xf>
    <xf numFmtId="0" fontId="10" fillId="0" borderId="0" xfId="0" applyFont="1" applyAlignment="1">
      <alignment vertical="center"/>
    </xf>
    <xf numFmtId="0" fontId="39" fillId="0" borderId="0" xfId="0" applyFont="1" applyAlignment="1">
      <alignment horizontal="center" vertical="center" readingOrder="1"/>
    </xf>
    <xf numFmtId="0" fontId="10" fillId="0" borderId="0" xfId="19" applyFont="1" applyAlignment="1">
      <alignment vertical="center"/>
    </xf>
    <xf numFmtId="0" fontId="15" fillId="0" borderId="0" xfId="0" applyFont="1" applyAlignment="1" applyProtection="1">
      <alignment vertical="center"/>
      <protection hidden="1"/>
    </xf>
    <xf numFmtId="44" fontId="20" fillId="0" borderId="0" xfId="2" applyFont="1" applyFill="1" applyAlignment="1" applyProtection="1">
      <alignment vertical="center"/>
      <protection hidden="1"/>
    </xf>
    <xf numFmtId="0" fontId="13" fillId="0" borderId="0" xfId="0" applyFont="1" applyAlignment="1" applyProtection="1">
      <alignment vertical="center"/>
      <protection locked="0"/>
    </xf>
    <xf numFmtId="0" fontId="9" fillId="0" borderId="0" xfId="0" applyFont="1" applyAlignment="1" applyProtection="1">
      <alignment vertical="center"/>
      <protection locked="0"/>
    </xf>
    <xf numFmtId="0" fontId="13" fillId="0" borderId="0" xfId="6" applyFont="1" applyAlignment="1" applyProtection="1">
      <alignment vertical="center"/>
      <protection locked="0"/>
    </xf>
    <xf numFmtId="0" fontId="9" fillId="0" borderId="0" xfId="6" applyAlignment="1" applyProtection="1">
      <alignment vertical="center"/>
      <protection locked="0"/>
    </xf>
    <xf numFmtId="0" fontId="13" fillId="0" borderId="0" xfId="6" applyFont="1" applyAlignment="1" applyProtection="1">
      <alignment vertical="center" shrinkToFit="1"/>
      <protection locked="0"/>
    </xf>
    <xf numFmtId="177" fontId="9" fillId="0" borderId="0" xfId="6" applyNumberFormat="1" applyAlignment="1" applyProtection="1">
      <alignment horizontal="center" vertical="center"/>
      <protection locked="0"/>
    </xf>
    <xf numFmtId="0" fontId="9" fillId="0" borderId="0" xfId="0" applyFont="1" applyAlignment="1">
      <alignment horizontal="left" vertical="center"/>
    </xf>
    <xf numFmtId="10" fontId="9" fillId="3" borderId="9" xfId="1" applyNumberFormat="1" applyFont="1" applyFill="1" applyBorder="1" applyAlignment="1" applyProtection="1">
      <alignment horizontal="center" vertical="center"/>
      <protection locked="0"/>
    </xf>
    <xf numFmtId="10" fontId="9" fillId="5" borderId="9" xfId="1" applyNumberFormat="1" applyFont="1" applyFill="1" applyBorder="1" applyAlignment="1" applyProtection="1">
      <alignment horizontal="center" vertical="center"/>
      <protection locked="0"/>
    </xf>
    <xf numFmtId="0" fontId="13" fillId="5" borderId="9" xfId="0" applyFont="1" applyFill="1" applyBorder="1" applyAlignment="1" applyProtection="1">
      <alignment vertical="center"/>
      <protection locked="0"/>
    </xf>
    <xf numFmtId="0" fontId="9" fillId="0" borderId="38" xfId="6" applyBorder="1" applyAlignment="1" applyProtection="1">
      <alignment vertical="center"/>
      <protection locked="0"/>
    </xf>
    <xf numFmtId="0" fontId="9" fillId="0" borderId="41" xfId="6" applyBorder="1" applyAlignment="1" applyProtection="1">
      <alignment vertical="center"/>
      <protection locked="0"/>
    </xf>
    <xf numFmtId="0" fontId="9" fillId="0" borderId="42" xfId="0" applyFont="1" applyBorder="1" applyAlignment="1" applyProtection="1">
      <alignment vertical="center"/>
      <protection locked="0"/>
    </xf>
    <xf numFmtId="0" fontId="9" fillId="0" borderId="42" xfId="6" applyBorder="1" applyAlignment="1" applyProtection="1">
      <alignment vertical="center"/>
      <protection locked="0"/>
    </xf>
    <xf numFmtId="0" fontId="13" fillId="0" borderId="41" xfId="0" applyFont="1" applyBorder="1" applyAlignment="1" applyProtection="1">
      <alignment vertical="center"/>
      <protection locked="0"/>
    </xf>
    <xf numFmtId="0" fontId="9" fillId="0" borderId="43" xfId="0" applyFont="1" applyBorder="1" applyAlignment="1" applyProtection="1">
      <alignment vertical="center"/>
      <protection locked="0"/>
    </xf>
    <xf numFmtId="0" fontId="9" fillId="0" borderId="17" xfId="0" applyFont="1" applyBorder="1" applyAlignment="1" applyProtection="1">
      <alignment vertical="center"/>
      <protection locked="0"/>
    </xf>
    <xf numFmtId="0" fontId="9" fillId="0" borderId="44" xfId="0" applyFont="1" applyBorder="1" applyAlignment="1" applyProtection="1">
      <alignment vertical="center"/>
      <protection locked="0"/>
    </xf>
    <xf numFmtId="0" fontId="40" fillId="0" borderId="39" xfId="0" applyFont="1" applyBorder="1" applyAlignment="1" applyProtection="1">
      <alignment vertical="center"/>
      <protection locked="0"/>
    </xf>
    <xf numFmtId="0" fontId="9" fillId="0" borderId="41" xfId="0" applyFont="1" applyBorder="1" applyAlignment="1" applyProtection="1">
      <alignment vertical="center"/>
      <protection locked="0"/>
    </xf>
    <xf numFmtId="0" fontId="13" fillId="4" borderId="37" xfId="0" applyFont="1" applyFill="1" applyBorder="1" applyAlignment="1" applyProtection="1">
      <alignment vertical="center"/>
      <protection locked="0"/>
    </xf>
    <xf numFmtId="0" fontId="13" fillId="3" borderId="37" xfId="6" applyFont="1" applyFill="1" applyBorder="1" applyAlignment="1" applyProtection="1">
      <alignment vertical="center" shrinkToFit="1"/>
      <protection locked="0"/>
    </xf>
    <xf numFmtId="0" fontId="9" fillId="0" borderId="40" xfId="6" applyBorder="1" applyAlignment="1" applyProtection="1">
      <alignment vertical="center"/>
      <protection locked="0"/>
    </xf>
    <xf numFmtId="0" fontId="13" fillId="3" borderId="45" xfId="0" applyFont="1" applyFill="1" applyBorder="1" applyAlignment="1" applyProtection="1">
      <alignment vertical="center"/>
      <protection locked="0"/>
    </xf>
    <xf numFmtId="0" fontId="13" fillId="3" borderId="46" xfId="0" applyFont="1" applyFill="1" applyBorder="1" applyAlignment="1" applyProtection="1">
      <alignment vertical="center"/>
      <protection locked="0"/>
    </xf>
    <xf numFmtId="0" fontId="13" fillId="3" borderId="47" xfId="0" applyFont="1" applyFill="1" applyBorder="1" applyAlignment="1" applyProtection="1">
      <alignment vertical="center"/>
      <protection locked="0"/>
    </xf>
    <xf numFmtId="172" fontId="16" fillId="0" borderId="9" xfId="1" applyNumberFormat="1" applyFont="1" applyFill="1" applyBorder="1" applyAlignment="1" applyProtection="1">
      <alignment vertical="center"/>
      <protection hidden="1"/>
    </xf>
    <xf numFmtId="189" fontId="13" fillId="0" borderId="0" xfId="6" applyNumberFormat="1" applyFont="1" applyAlignment="1" applyProtection="1">
      <alignment horizontal="left" vertical="center"/>
      <protection hidden="1"/>
    </xf>
    <xf numFmtId="0" fontId="13" fillId="0" borderId="0" xfId="0" applyFont="1" applyAlignment="1">
      <alignment horizontal="center" vertical="center" wrapText="1"/>
    </xf>
    <xf numFmtId="44" fontId="9" fillId="0" borderId="0" xfId="2" applyFont="1" applyFill="1" applyAlignment="1" applyProtection="1">
      <alignment vertical="center"/>
    </xf>
    <xf numFmtId="0" fontId="13" fillId="0" borderId="9" xfId="0" applyFont="1" applyBorder="1" applyAlignment="1">
      <alignment horizontal="center" vertical="center" wrapText="1"/>
    </xf>
    <xf numFmtId="0" fontId="13" fillId="0" borderId="0" xfId="0" applyFont="1" applyAlignment="1">
      <alignment horizontal="center" vertical="center"/>
    </xf>
    <xf numFmtId="0" fontId="13" fillId="0" borderId="15" xfId="0" applyFont="1" applyBorder="1" applyAlignment="1">
      <alignment horizontal="center" vertical="center"/>
    </xf>
    <xf numFmtId="49" fontId="9" fillId="0" borderId="0" xfId="0" applyNumberFormat="1" applyFont="1" applyAlignment="1">
      <alignment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wrapText="1"/>
    </xf>
    <xf numFmtId="0" fontId="13" fillId="0" borderId="15" xfId="0" applyFont="1" applyBorder="1" applyAlignment="1">
      <alignment horizontal="center" vertical="center" wrapText="1"/>
    </xf>
    <xf numFmtId="49" fontId="13" fillId="0" borderId="15" xfId="0" applyNumberFormat="1" applyFont="1" applyBorder="1" applyAlignment="1">
      <alignment horizontal="center" vertical="center" wrapText="1"/>
    </xf>
    <xf numFmtId="0" fontId="9" fillId="0" borderId="9" xfId="0" applyFont="1" applyBorder="1" applyAlignment="1">
      <alignment vertical="center"/>
    </xf>
    <xf numFmtId="0" fontId="9" fillId="0" borderId="12" xfId="0" applyFont="1" applyBorder="1" applyAlignment="1">
      <alignment vertical="center"/>
    </xf>
    <xf numFmtId="0" fontId="9" fillId="4" borderId="9" xfId="0" applyFont="1" applyFill="1" applyBorder="1" applyAlignment="1">
      <alignment vertical="center"/>
    </xf>
    <xf numFmtId="4" fontId="9" fillId="0" borderId="0" xfId="0" applyNumberFormat="1" applyFont="1" applyAlignment="1">
      <alignment vertical="center"/>
    </xf>
    <xf numFmtId="0" fontId="9" fillId="0" borderId="0" xfId="0" applyFont="1" applyAlignment="1" applyProtection="1">
      <alignment horizontal="center" vertical="center"/>
      <protection locked="0"/>
    </xf>
    <xf numFmtId="0" fontId="9" fillId="0" borderId="0" xfId="6" applyAlignment="1" applyProtection="1">
      <alignment horizontal="center" vertical="center"/>
      <protection locked="0"/>
    </xf>
    <xf numFmtId="0" fontId="9" fillId="0" borderId="9" xfId="0" applyFont="1" applyBorder="1" applyAlignment="1">
      <alignment horizontal="center" vertical="center"/>
    </xf>
    <xf numFmtId="49" fontId="9" fillId="4" borderId="9" xfId="0" applyNumberFormat="1" applyFont="1" applyFill="1" applyBorder="1" applyAlignment="1">
      <alignment horizontal="center" vertical="center"/>
    </xf>
    <xf numFmtId="193" fontId="13" fillId="0" borderId="0" xfId="0" applyNumberFormat="1" applyFont="1" applyAlignment="1">
      <alignment vertical="center"/>
    </xf>
    <xf numFmtId="44" fontId="11" fillId="0" borderId="0" xfId="2" applyFont="1" applyFill="1" applyBorder="1" applyAlignment="1" applyProtection="1">
      <alignment vertical="center"/>
      <protection hidden="1"/>
    </xf>
    <xf numFmtId="0" fontId="13" fillId="0" borderId="2" xfId="0" applyFont="1" applyBorder="1" applyAlignment="1">
      <alignment horizontal="center" vertical="center"/>
    </xf>
    <xf numFmtId="0" fontId="13" fillId="0" borderId="3" xfId="0" applyFont="1" applyBorder="1" applyAlignment="1">
      <alignment horizontal="left" vertical="center"/>
    </xf>
    <xf numFmtId="0" fontId="15" fillId="0" borderId="3" xfId="0" applyFont="1" applyBorder="1" applyAlignment="1">
      <alignment horizontal="left" vertical="center"/>
    </xf>
    <xf numFmtId="0" fontId="13" fillId="0" borderId="3" xfId="0" applyFont="1" applyBorder="1" applyAlignment="1">
      <alignment horizontal="right" vertical="center"/>
    </xf>
    <xf numFmtId="0" fontId="0" fillId="0" borderId="3" xfId="0" applyBorder="1" applyAlignment="1">
      <alignment vertical="center"/>
    </xf>
    <xf numFmtId="0" fontId="13" fillId="0" borderId="3" xfId="0" applyFont="1" applyBorder="1" applyAlignment="1">
      <alignment vertical="center"/>
    </xf>
    <xf numFmtId="44" fontId="13" fillId="0" borderId="4" xfId="0" applyNumberFormat="1" applyFont="1" applyBorder="1" applyAlignment="1">
      <alignment vertical="center"/>
    </xf>
    <xf numFmtId="170" fontId="13" fillId="0" borderId="0" xfId="0" applyNumberFormat="1" applyFont="1" applyAlignment="1">
      <alignment horizontal="right" vertical="center"/>
    </xf>
    <xf numFmtId="0" fontId="0" fillId="0" borderId="0" xfId="0" applyAlignment="1">
      <alignment vertical="center"/>
    </xf>
    <xf numFmtId="0" fontId="13" fillId="0" borderId="5" xfId="0" applyFont="1" applyBorder="1" applyAlignment="1">
      <alignment horizontal="center" vertical="center"/>
    </xf>
    <xf numFmtId="0" fontId="13" fillId="0" borderId="0" xfId="0" applyFont="1" applyAlignment="1">
      <alignment horizontal="right" vertical="center"/>
    </xf>
    <xf numFmtId="10" fontId="0" fillId="0" borderId="0" xfId="1" applyNumberFormat="1" applyFont="1" applyFill="1" applyBorder="1" applyAlignment="1" applyProtection="1">
      <alignment vertical="center"/>
    </xf>
    <xf numFmtId="44" fontId="13" fillId="0" borderId="1" xfId="0" applyNumberFormat="1" applyFont="1" applyBorder="1" applyAlignment="1">
      <alignment vertical="center"/>
    </xf>
    <xf numFmtId="10" fontId="13" fillId="0" borderId="0" xfId="0" applyNumberFormat="1" applyFont="1" applyAlignment="1">
      <alignment horizontal="right" vertical="center"/>
    </xf>
    <xf numFmtId="0" fontId="13" fillId="0" borderId="6" xfId="0" applyFont="1" applyBorder="1" applyAlignment="1">
      <alignment horizontal="center" vertical="center"/>
    </xf>
    <xf numFmtId="10" fontId="13" fillId="0" borderId="7" xfId="0" applyNumberFormat="1" applyFont="1" applyBorder="1" applyAlignment="1">
      <alignment horizontal="left" vertical="center"/>
    </xf>
    <xf numFmtId="10" fontId="13"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3" fillId="0" borderId="7" xfId="0" applyFont="1" applyBorder="1" applyAlignment="1">
      <alignment vertical="center"/>
    </xf>
    <xf numFmtId="0" fontId="0" fillId="0" borderId="7" xfId="0" applyBorder="1" applyAlignment="1">
      <alignment vertical="center"/>
    </xf>
    <xf numFmtId="44" fontId="13" fillId="0" borderId="8" xfId="0" applyNumberFormat="1" applyFont="1" applyBorder="1" applyAlignment="1">
      <alignment vertical="center"/>
    </xf>
    <xf numFmtId="0" fontId="13" fillId="5" borderId="37" xfId="6" applyFont="1" applyFill="1" applyBorder="1" applyAlignment="1" applyProtection="1">
      <alignment vertical="center"/>
      <protection locked="0"/>
    </xf>
    <xf numFmtId="0" fontId="13" fillId="6" borderId="37" xfId="0" applyFont="1" applyFill="1" applyBorder="1" applyAlignment="1" applyProtection="1">
      <alignment vertical="center"/>
      <protection locked="0"/>
    </xf>
    <xf numFmtId="0" fontId="9" fillId="0" borderId="18" xfId="0" applyFont="1" applyBorder="1" applyAlignment="1">
      <alignment horizontal="center" vertical="center"/>
    </xf>
    <xf numFmtId="0" fontId="9" fillId="4" borderId="9" xfId="0" applyFont="1" applyFill="1" applyBorder="1" applyAlignment="1" applyProtection="1">
      <alignment vertical="center"/>
      <protection locked="0"/>
    </xf>
    <xf numFmtId="49" fontId="13" fillId="0" borderId="0" xfId="0" applyNumberFormat="1" applyFont="1" applyAlignment="1">
      <alignment horizontal="center" vertical="center" wrapText="1"/>
    </xf>
    <xf numFmtId="49" fontId="9" fillId="0" borderId="0" xfId="6" applyNumberFormat="1" applyAlignment="1" applyProtection="1">
      <alignment horizontal="center" vertical="center"/>
      <protection locked="0"/>
    </xf>
    <xf numFmtId="165" fontId="13" fillId="0" borderId="0" xfId="6" applyNumberFormat="1" applyFont="1" applyAlignment="1" applyProtection="1">
      <alignment horizontal="center" vertical="center"/>
      <protection locked="0"/>
    </xf>
    <xf numFmtId="9" fontId="9" fillId="0" borderId="0" xfId="1" applyFont="1" applyFill="1" applyBorder="1" applyAlignment="1" applyProtection="1">
      <alignment horizontal="center" vertical="center"/>
      <protection locked="0"/>
    </xf>
    <xf numFmtId="14" fontId="9" fillId="0" borderId="0" xfId="6" applyNumberFormat="1" applyAlignment="1" applyProtection="1">
      <alignment horizontal="center" vertical="center"/>
      <protection locked="0"/>
    </xf>
    <xf numFmtId="0" fontId="13" fillId="0" borderId="0" xfId="6" applyFont="1" applyAlignment="1" applyProtection="1">
      <alignment horizontal="center" vertical="center"/>
      <protection locked="0"/>
    </xf>
    <xf numFmtId="10" fontId="9" fillId="0" borderId="0" xfId="1" applyNumberFormat="1" applyFont="1" applyFill="1" applyBorder="1" applyAlignment="1" applyProtection="1">
      <alignment horizontal="center" vertical="center"/>
      <protection locked="0"/>
    </xf>
    <xf numFmtId="44" fontId="9" fillId="0" borderId="0" xfId="2" applyFont="1" applyFill="1" applyBorder="1" applyAlignment="1" applyProtection="1">
      <alignment vertical="center"/>
      <protection locked="0"/>
    </xf>
    <xf numFmtId="9" fontId="14" fillId="0" borderId="0" xfId="1" applyFont="1" applyFill="1" applyBorder="1" applyAlignment="1">
      <alignment vertical="center"/>
    </xf>
    <xf numFmtId="0" fontId="9" fillId="0" borderId="12" xfId="0" applyFont="1" applyBorder="1" applyAlignment="1">
      <alignment horizontal="center" vertical="center"/>
    </xf>
    <xf numFmtId="0" fontId="14" fillId="0" borderId="0" xfId="0" applyFont="1" applyAlignment="1">
      <alignment horizontal="center" vertical="center"/>
    </xf>
    <xf numFmtId="0" fontId="14" fillId="0" borderId="0" xfId="0" applyFont="1" applyAlignment="1">
      <alignment horizontal="left" vertical="center"/>
    </xf>
    <xf numFmtId="182" fontId="14" fillId="0" borderId="0" xfId="0" applyNumberFormat="1" applyFont="1" applyAlignment="1">
      <alignment horizontal="center" vertical="center"/>
    </xf>
    <xf numFmtId="0" fontId="13" fillId="0" borderId="9" xfId="0" applyFont="1" applyBorder="1" applyAlignment="1" applyProtection="1">
      <alignment horizontal="center" vertical="center" wrapText="1"/>
      <protection hidden="1"/>
    </xf>
    <xf numFmtId="2" fontId="0" fillId="0" borderId="0" xfId="0" applyNumberFormat="1" applyAlignment="1" applyProtection="1">
      <alignment vertical="center"/>
      <protection hidden="1"/>
    </xf>
    <xf numFmtId="182" fontId="9" fillId="0" borderId="0" xfId="0" applyNumberFormat="1" applyFont="1" applyAlignment="1">
      <alignment vertical="center"/>
    </xf>
    <xf numFmtId="0" fontId="9" fillId="0" borderId="28" xfId="0" applyFont="1" applyBorder="1" applyAlignment="1">
      <alignment horizontal="center" vertical="center"/>
    </xf>
    <xf numFmtId="0" fontId="9" fillId="0" borderId="28" xfId="0" applyFont="1" applyBorder="1" applyAlignment="1">
      <alignment horizontal="left" vertical="center"/>
    </xf>
    <xf numFmtId="4" fontId="9" fillId="0" borderId="28" xfId="0" applyNumberFormat="1" applyFont="1" applyBorder="1" applyAlignment="1">
      <alignment horizontal="center" vertical="center"/>
    </xf>
    <xf numFmtId="4" fontId="9" fillId="0" borderId="28" xfId="0" applyNumberFormat="1" applyFont="1" applyBorder="1" applyAlignment="1" applyProtection="1">
      <alignment vertical="center"/>
      <protection locked="0"/>
    </xf>
    <xf numFmtId="183" fontId="9" fillId="0" borderId="28" xfId="2" applyNumberFormat="1" applyFont="1" applyFill="1" applyBorder="1" applyAlignment="1" applyProtection="1">
      <alignment vertical="center"/>
      <protection hidden="1"/>
    </xf>
    <xf numFmtId="0" fontId="13" fillId="0" borderId="12" xfId="0" applyFont="1" applyBorder="1" applyAlignment="1">
      <alignment horizontal="center" vertical="center" wrapText="1"/>
    </xf>
    <xf numFmtId="0" fontId="13" fillId="0" borderId="18" xfId="0" applyFont="1" applyBorder="1" applyAlignment="1">
      <alignment horizontal="center" vertical="center" wrapText="1"/>
    </xf>
    <xf numFmtId="0" fontId="9" fillId="0" borderId="15" xfId="0" applyFont="1" applyBorder="1" applyAlignment="1">
      <alignment vertical="center"/>
    </xf>
    <xf numFmtId="0" fontId="9" fillId="0" borderId="18" xfId="0" applyFont="1" applyBorder="1" applyAlignment="1">
      <alignment vertical="center"/>
    </xf>
    <xf numFmtId="0" fontId="9" fillId="0" borderId="9" xfId="6" applyBorder="1" applyAlignment="1" applyProtection="1">
      <alignment horizontal="center" vertical="center"/>
      <protection hidden="1"/>
    </xf>
    <xf numFmtId="0" fontId="9" fillId="0" borderId="12" xfId="6" applyBorder="1" applyAlignment="1" applyProtection="1">
      <alignment vertical="center"/>
      <protection hidden="1"/>
    </xf>
    <xf numFmtId="0" fontId="13" fillId="0" borderId="18" xfId="6" applyFont="1" applyBorder="1" applyAlignment="1" applyProtection="1">
      <alignment horizontal="left" vertical="center" wrapText="1"/>
      <protection hidden="1"/>
    </xf>
    <xf numFmtId="190" fontId="9" fillId="0" borderId="0" xfId="0" applyNumberFormat="1" applyFont="1" applyAlignment="1" applyProtection="1">
      <alignment vertical="center"/>
      <protection hidden="1"/>
    </xf>
    <xf numFmtId="0" fontId="13" fillId="0" borderId="0" xfId="6" applyFont="1" applyAlignment="1" applyProtection="1">
      <alignment vertical="center"/>
      <protection hidden="1"/>
    </xf>
    <xf numFmtId="44" fontId="9" fillId="0" borderId="0" xfId="2" applyFont="1" applyFill="1" applyAlignment="1" applyProtection="1">
      <alignment vertical="center"/>
      <protection hidden="1"/>
    </xf>
    <xf numFmtId="190" fontId="9" fillId="0" borderId="0" xfId="6" applyNumberFormat="1" applyAlignment="1" applyProtection="1">
      <alignment vertical="center"/>
      <protection hidden="1"/>
    </xf>
    <xf numFmtId="190" fontId="13" fillId="0" borderId="0" xfId="0" applyNumberFormat="1" applyFont="1" applyAlignment="1" applyProtection="1">
      <alignment vertical="center"/>
      <protection hidden="1"/>
    </xf>
    <xf numFmtId="190" fontId="13" fillId="0" borderId="0" xfId="6" applyNumberFormat="1" applyFont="1" applyAlignment="1" applyProtection="1">
      <alignment vertical="center"/>
      <protection hidden="1"/>
    </xf>
    <xf numFmtId="44" fontId="13" fillId="0" borderId="0" xfId="6" applyNumberFormat="1" applyFont="1" applyAlignment="1" applyProtection="1">
      <alignment vertical="center"/>
      <protection hidden="1"/>
    </xf>
    <xf numFmtId="0" fontId="9" fillId="0" borderId="9" xfId="0" applyFont="1" applyBorder="1" applyAlignment="1" applyProtection="1">
      <alignment vertical="center"/>
      <protection hidden="1"/>
    </xf>
    <xf numFmtId="0" fontId="9" fillId="0" borderId="13" xfId="0" applyFont="1" applyBorder="1" applyAlignment="1" applyProtection="1">
      <alignment vertical="center"/>
      <protection hidden="1"/>
    </xf>
    <xf numFmtId="0" fontId="9" fillId="0" borderId="32" xfId="0" applyFont="1" applyBorder="1" applyAlignment="1" applyProtection="1">
      <alignment vertical="center"/>
      <protection hidden="1"/>
    </xf>
    <xf numFmtId="0" fontId="9" fillId="0" borderId="15" xfId="0" applyFont="1" applyBorder="1" applyAlignment="1" applyProtection="1">
      <alignment vertical="center"/>
      <protection hidden="1"/>
    </xf>
    <xf numFmtId="10" fontId="9" fillId="0" borderId="0" xfId="0" applyNumberFormat="1" applyFont="1" applyAlignment="1" applyProtection="1">
      <alignment vertical="center"/>
      <protection hidden="1"/>
    </xf>
    <xf numFmtId="0" fontId="9" fillId="0" borderId="12" xfId="0" applyFont="1" applyBorder="1" applyAlignment="1" applyProtection="1">
      <alignment horizontal="left" vertical="center"/>
      <protection hidden="1"/>
    </xf>
    <xf numFmtId="0" fontId="9" fillId="0" borderId="18" xfId="0" applyFont="1" applyBorder="1" applyAlignment="1" applyProtection="1">
      <alignment horizontal="left" vertical="center"/>
      <protection hidden="1"/>
    </xf>
    <xf numFmtId="183" fontId="13" fillId="0" borderId="0" xfId="2" applyNumberFormat="1" applyFont="1" applyFill="1" applyBorder="1" applyAlignment="1" applyProtection="1">
      <alignment vertical="center"/>
      <protection hidden="1"/>
    </xf>
    <xf numFmtId="0" fontId="9" fillId="3" borderId="14" xfId="0" applyFont="1" applyFill="1" applyBorder="1" applyAlignment="1">
      <alignment horizontal="center" vertical="center"/>
    </xf>
    <xf numFmtId="0" fontId="9" fillId="4" borderId="14" xfId="0" applyFont="1" applyFill="1" applyBorder="1" applyAlignment="1">
      <alignment horizontal="left" vertical="center"/>
    </xf>
    <xf numFmtId="4" fontId="9" fillId="4" borderId="30" xfId="0" applyNumberFormat="1" applyFont="1" applyFill="1" applyBorder="1" applyAlignment="1">
      <alignment horizontal="center" vertical="center"/>
    </xf>
    <xf numFmtId="0" fontId="9" fillId="5" borderId="9" xfId="0" applyFont="1" applyFill="1" applyBorder="1" applyAlignment="1">
      <alignment horizontal="center" vertical="center"/>
    </xf>
    <xf numFmtId="0" fontId="9" fillId="5" borderId="9" xfId="0" applyFont="1" applyFill="1" applyBorder="1" applyAlignment="1">
      <alignment horizontal="left" vertical="center"/>
    </xf>
    <xf numFmtId="4" fontId="9" fillId="5" borderId="9" xfId="0" applyNumberFormat="1" applyFont="1" applyFill="1" applyBorder="1" applyAlignment="1">
      <alignment horizontal="center" vertical="center"/>
    </xf>
    <xf numFmtId="2" fontId="9" fillId="5" borderId="9" xfId="0" applyNumberFormat="1" applyFont="1" applyFill="1" applyBorder="1" applyAlignment="1" applyProtection="1">
      <alignment vertical="center"/>
      <protection locked="0"/>
    </xf>
    <xf numFmtId="183" fontId="9" fillId="5" borderId="30" xfId="2" applyNumberFormat="1" applyFont="1" applyFill="1" applyBorder="1" applyAlignment="1" applyProtection="1">
      <alignment vertical="center"/>
      <protection hidden="1"/>
    </xf>
    <xf numFmtId="4" fontId="9" fillId="3" borderId="30" xfId="0" applyNumberFormat="1" applyFont="1" applyFill="1" applyBorder="1" applyAlignment="1" applyProtection="1">
      <alignment vertical="center"/>
      <protection locked="0"/>
    </xf>
    <xf numFmtId="183" fontId="9" fillId="4" borderId="30" xfId="2" applyNumberFormat="1" applyFont="1" applyFill="1" applyBorder="1" applyAlignment="1" applyProtection="1">
      <alignment vertical="center"/>
      <protection hidden="1"/>
    </xf>
    <xf numFmtId="0" fontId="13" fillId="4" borderId="31" xfId="0" applyFont="1" applyFill="1" applyBorder="1" applyAlignment="1">
      <alignment horizontal="center" vertical="center"/>
    </xf>
    <xf numFmtId="0" fontId="13" fillId="4" borderId="28" xfId="0" applyFont="1" applyFill="1" applyBorder="1" applyAlignment="1">
      <alignment horizontal="left" vertical="center"/>
    </xf>
    <xf numFmtId="0" fontId="15" fillId="4" borderId="28" xfId="0" applyFont="1" applyFill="1" applyBorder="1" applyAlignment="1">
      <alignment horizontal="left" vertical="center"/>
    </xf>
    <xf numFmtId="0" fontId="13" fillId="4" borderId="28" xfId="0" applyFont="1" applyFill="1" applyBorder="1" applyAlignment="1">
      <alignment horizontal="right" vertical="center"/>
    </xf>
    <xf numFmtId="0" fontId="0" fillId="4" borderId="28" xfId="0" applyFill="1" applyBorder="1" applyAlignment="1">
      <alignment vertical="center"/>
    </xf>
    <xf numFmtId="44" fontId="13" fillId="4" borderId="29" xfId="0" applyNumberFormat="1" applyFont="1" applyFill="1" applyBorder="1" applyAlignment="1">
      <alignment vertical="center"/>
    </xf>
    <xf numFmtId="0" fontId="13" fillId="4" borderId="13" xfId="0" applyFont="1" applyFill="1" applyBorder="1" applyAlignment="1">
      <alignment horizontal="center" vertical="center"/>
    </xf>
    <xf numFmtId="0" fontId="13" fillId="4" borderId="0" xfId="0" applyFont="1" applyFill="1" applyAlignment="1">
      <alignment horizontal="left" vertical="center"/>
    </xf>
    <xf numFmtId="0" fontId="15" fillId="4" borderId="0" xfId="0" applyFont="1" applyFill="1" applyAlignment="1">
      <alignment horizontal="left" vertical="center"/>
    </xf>
    <xf numFmtId="0" fontId="13" fillId="4" borderId="0" xfId="0" applyFont="1" applyFill="1" applyAlignment="1">
      <alignment horizontal="right" vertical="center"/>
    </xf>
    <xf numFmtId="10" fontId="0" fillId="4" borderId="0" xfId="1" applyNumberFormat="1" applyFont="1" applyFill="1" applyBorder="1" applyAlignment="1" applyProtection="1">
      <alignment vertical="center"/>
    </xf>
    <xf numFmtId="44" fontId="13" fillId="4" borderId="32" xfId="0" applyNumberFormat="1" applyFont="1" applyFill="1" applyBorder="1" applyAlignment="1">
      <alignment vertical="center"/>
    </xf>
    <xf numFmtId="0" fontId="0" fillId="4" borderId="0" xfId="0" applyFill="1" applyAlignment="1">
      <alignment vertical="center"/>
    </xf>
    <xf numFmtId="10" fontId="13" fillId="4" borderId="0" xfId="0" applyNumberFormat="1" applyFont="1" applyFill="1" applyAlignment="1">
      <alignment horizontal="left" vertical="center"/>
    </xf>
    <xf numFmtId="10" fontId="13" fillId="4" borderId="0" xfId="0" applyNumberFormat="1" applyFont="1" applyFill="1" applyAlignment="1">
      <alignment horizontal="right" vertical="center"/>
    </xf>
    <xf numFmtId="0" fontId="13" fillId="4" borderId="14" xfId="0" applyFont="1" applyFill="1" applyBorder="1" applyAlignment="1">
      <alignment horizontal="center" vertical="center"/>
    </xf>
    <xf numFmtId="10" fontId="13" fillId="4" borderId="27" xfId="0" applyNumberFormat="1" applyFont="1" applyFill="1" applyBorder="1" applyAlignment="1">
      <alignment horizontal="left" vertical="center"/>
    </xf>
    <xf numFmtId="10" fontId="0" fillId="4" borderId="27" xfId="1" applyNumberFormat="1" applyFont="1" applyFill="1" applyBorder="1" applyAlignment="1" applyProtection="1">
      <alignment vertical="center"/>
    </xf>
    <xf numFmtId="10" fontId="13" fillId="4" borderId="27" xfId="0" applyNumberFormat="1" applyFont="1" applyFill="1" applyBorder="1" applyAlignment="1">
      <alignment horizontal="right" vertical="center"/>
    </xf>
    <xf numFmtId="0" fontId="0" fillId="4" borderId="27" xfId="0" applyFill="1" applyBorder="1" applyAlignment="1">
      <alignment vertical="center"/>
    </xf>
    <xf numFmtId="44" fontId="13" fillId="4" borderId="16" xfId="0" applyNumberFormat="1" applyFont="1" applyFill="1" applyBorder="1" applyAlignment="1">
      <alignment vertical="center"/>
    </xf>
    <xf numFmtId="0" fontId="0" fillId="4" borderId="0" xfId="0" applyFill="1" applyAlignment="1" applyProtection="1">
      <alignment vertical="center"/>
      <protection hidden="1"/>
    </xf>
    <xf numFmtId="0" fontId="11" fillId="4" borderId="0" xfId="0" applyFont="1" applyFill="1" applyAlignment="1" applyProtection="1">
      <alignment horizontal="left" vertical="center"/>
      <protection hidden="1"/>
    </xf>
    <xf numFmtId="10" fontId="13" fillId="4" borderId="0" xfId="0" applyNumberFormat="1" applyFont="1" applyFill="1" applyAlignment="1" applyProtection="1">
      <alignment horizontal="right" vertical="center"/>
      <protection hidden="1"/>
    </xf>
    <xf numFmtId="44" fontId="13" fillId="4" borderId="0" xfId="2" applyFont="1" applyFill="1" applyAlignment="1" applyProtection="1">
      <alignment vertical="center"/>
    </xf>
    <xf numFmtId="183" fontId="9" fillId="5" borderId="9" xfId="2" applyNumberFormat="1" applyFont="1" applyFill="1" applyBorder="1" applyAlignment="1" applyProtection="1">
      <alignment vertical="center"/>
      <protection hidden="1"/>
    </xf>
    <xf numFmtId="0" fontId="9" fillId="5" borderId="12" xfId="0" applyFont="1" applyFill="1" applyBorder="1" applyAlignment="1">
      <alignment horizontal="left" vertical="center"/>
    </xf>
    <xf numFmtId="0" fontId="9" fillId="5" borderId="12" xfId="0" applyFont="1" applyFill="1" applyBorder="1" applyAlignment="1">
      <alignment horizontal="center" vertical="center"/>
    </xf>
    <xf numFmtId="0" fontId="9" fillId="5" borderId="9" xfId="0" applyFont="1" applyFill="1" applyBorder="1" applyAlignment="1">
      <alignment vertical="center"/>
    </xf>
    <xf numFmtId="0" fontId="9" fillId="0" borderId="12" xfId="5" applyFont="1" applyBorder="1" applyAlignment="1" applyProtection="1">
      <alignment horizontal="left" vertical="center"/>
      <protection locked="0"/>
    </xf>
    <xf numFmtId="0" fontId="9" fillId="0" borderId="18" xfId="5" applyFont="1" applyBorder="1" applyAlignment="1" applyProtection="1">
      <alignment horizontal="left" vertical="center"/>
      <protection locked="0"/>
    </xf>
    <xf numFmtId="0" fontId="13" fillId="3" borderId="9" xfId="6" applyFont="1" applyFill="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0" fillId="0" borderId="9" xfId="0" applyFont="1" applyBorder="1" applyAlignment="1" applyProtection="1">
      <alignment vertical="center"/>
      <protection locked="0"/>
    </xf>
    <xf numFmtId="0" fontId="10" fillId="0" borderId="0" xfId="0" applyFont="1" applyAlignment="1">
      <alignment horizontal="center" vertical="center"/>
    </xf>
    <xf numFmtId="182" fontId="10" fillId="0" borderId="9" xfId="48" applyNumberFormat="1" applyFont="1" applyFill="1" applyBorder="1" applyAlignment="1" applyProtection="1">
      <alignment horizontal="right" vertical="center"/>
      <protection locked="0"/>
    </xf>
    <xf numFmtId="182" fontId="10" fillId="0" borderId="48" xfId="48" applyNumberFormat="1" applyFont="1" applyFill="1" applyBorder="1" applyAlignment="1" applyProtection="1">
      <alignment horizontal="right" vertical="center"/>
      <protection locked="0"/>
    </xf>
    <xf numFmtId="182" fontId="10" fillId="0" borderId="33" xfId="48" applyNumberFormat="1" applyFont="1" applyFill="1" applyBorder="1" applyAlignment="1" applyProtection="1">
      <alignment horizontal="right" vertical="center"/>
    </xf>
    <xf numFmtId="0" fontId="10" fillId="0" borderId="31" xfId="0" applyFont="1" applyBorder="1" applyAlignment="1">
      <alignment vertical="center"/>
    </xf>
    <xf numFmtId="0" fontId="10" fillId="0" borderId="12" xfId="0" applyFont="1" applyBorder="1" applyAlignment="1">
      <alignment vertical="center"/>
    </xf>
    <xf numFmtId="14" fontId="12" fillId="0" borderId="5" xfId="0" applyNumberFormat="1" applyFont="1" applyBorder="1" applyAlignment="1">
      <alignment vertical="center"/>
    </xf>
    <xf numFmtId="14" fontId="12" fillId="0" borderId="0" xfId="0" applyNumberFormat="1" applyFont="1" applyAlignment="1">
      <alignment vertical="center"/>
    </xf>
    <xf numFmtId="16" fontId="12" fillId="0" borderId="0" xfId="0" applyNumberFormat="1" applyFont="1" applyAlignment="1">
      <alignment vertical="center"/>
    </xf>
    <xf numFmtId="0" fontId="12" fillId="0" borderId="0" xfId="0" applyFont="1" applyAlignment="1">
      <alignment horizontal="center" vertical="center"/>
    </xf>
    <xf numFmtId="182" fontId="12" fillId="0" borderId="0" xfId="0" applyNumberFormat="1" applyFont="1" applyAlignment="1">
      <alignment horizontal="center" vertical="center"/>
    </xf>
    <xf numFmtId="182" fontId="12" fillId="0" borderId="1" xfId="0" applyNumberFormat="1" applyFont="1" applyBorder="1" applyAlignment="1">
      <alignment horizontal="center" vertical="center"/>
    </xf>
    <xf numFmtId="14" fontId="12" fillId="0" borderId="0" xfId="0" applyNumberFormat="1" applyFont="1" applyAlignment="1">
      <alignment vertical="center" wrapText="1"/>
    </xf>
    <xf numFmtId="182" fontId="12" fillId="0" borderId="0" xfId="0" applyNumberFormat="1" applyFont="1" applyAlignment="1">
      <alignment vertical="center"/>
    </xf>
    <xf numFmtId="182" fontId="12" fillId="0" borderId="1" xfId="0" applyNumberFormat="1" applyFont="1" applyBorder="1" applyAlignment="1">
      <alignment vertical="center"/>
    </xf>
    <xf numFmtId="14" fontId="12" fillId="0" borderId="1" xfId="0" applyNumberFormat="1" applyFont="1" applyBorder="1" applyAlignment="1">
      <alignment vertical="center"/>
    </xf>
    <xf numFmtId="0" fontId="12" fillId="0" borderId="5" xfId="0" applyFont="1" applyBorder="1" applyAlignment="1">
      <alignment vertical="center"/>
    </xf>
    <xf numFmtId="0" fontId="12" fillId="0" borderId="0" xfId="0" applyFont="1" applyAlignment="1">
      <alignment vertical="center"/>
    </xf>
    <xf numFmtId="2" fontId="10" fillId="0" borderId="0" xfId="0" applyNumberFormat="1" applyFont="1" applyAlignment="1">
      <alignment horizontal="right" vertical="center"/>
    </xf>
    <xf numFmtId="182" fontId="10" fillId="0" borderId="0" xfId="0" applyNumberFormat="1" applyFont="1" applyAlignment="1">
      <alignment vertical="center"/>
    </xf>
    <xf numFmtId="182" fontId="10" fillId="0" borderId="1" xfId="0" applyNumberFormat="1" applyFont="1" applyBorder="1" applyAlignment="1">
      <alignment vertical="center"/>
    </xf>
    <xf numFmtId="182" fontId="10" fillId="0" borderId="1" xfId="0" applyNumberFormat="1" applyFont="1" applyBorder="1" applyAlignment="1">
      <alignment horizontal="center" vertical="center"/>
    </xf>
    <xf numFmtId="0" fontId="10" fillId="0" borderId="10"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5" xfId="0" applyFont="1" applyBorder="1" applyAlignment="1">
      <alignment horizontal="center" vertical="center" wrapText="1"/>
    </xf>
    <xf numFmtId="0" fontId="12" fillId="0" borderId="15" xfId="0" applyFont="1" applyBorder="1" applyAlignment="1">
      <alignment horizontal="center" vertical="center"/>
    </xf>
    <xf numFmtId="0" fontId="10" fillId="0" borderId="15" xfId="0" applyFont="1" applyBorder="1" applyAlignment="1">
      <alignment horizontal="center" vertical="center"/>
    </xf>
    <xf numFmtId="2" fontId="10" fillId="0" borderId="15" xfId="0" applyNumberFormat="1" applyFont="1" applyBorder="1" applyAlignment="1">
      <alignment horizontal="center" vertical="center"/>
    </xf>
    <xf numFmtId="182" fontId="10" fillId="0" borderId="15" xfId="0" applyNumberFormat="1" applyFont="1" applyBorder="1" applyAlignment="1">
      <alignment horizontal="center" vertical="center"/>
    </xf>
    <xf numFmtId="182" fontId="10" fillId="0" borderId="26" xfId="0" applyNumberFormat="1" applyFont="1" applyBorder="1" applyAlignment="1">
      <alignment horizontal="center" vertical="center"/>
    </xf>
    <xf numFmtId="0" fontId="10" fillId="0" borderId="10" xfId="0" applyFont="1" applyBorder="1" applyAlignment="1" applyProtection="1">
      <alignment horizontal="center" vertical="center"/>
      <protection locked="0"/>
    </xf>
    <xf numFmtId="0" fontId="10" fillId="0" borderId="9" xfId="107" applyFont="1" applyBorder="1" applyAlignment="1" applyProtection="1">
      <alignment horizontal="left" vertical="center"/>
      <protection locked="0"/>
    </xf>
    <xf numFmtId="2" fontId="10" fillId="0" borderId="9" xfId="0" applyNumberFormat="1" applyFont="1" applyBorder="1" applyAlignment="1" applyProtection="1">
      <alignment horizontal="right" vertical="center"/>
      <protection locked="0"/>
    </xf>
    <xf numFmtId="0" fontId="10" fillId="0" borderId="5" xfId="0" applyFont="1" applyBorder="1" applyAlignment="1">
      <alignment vertical="center"/>
    </xf>
    <xf numFmtId="182" fontId="10" fillId="0" borderId="1" xfId="0" applyNumberFormat="1" applyFont="1" applyBorder="1" applyAlignment="1">
      <alignment horizontal="right" vertical="center"/>
    </xf>
    <xf numFmtId="182" fontId="10" fillId="0" borderId="9" xfId="48" applyNumberFormat="1" applyFont="1" applyFill="1" applyBorder="1" applyAlignment="1" applyProtection="1">
      <alignment vertical="center"/>
      <protection locked="0"/>
    </xf>
    <xf numFmtId="0" fontId="10" fillId="0" borderId="34" xfId="0" applyFont="1" applyBorder="1" applyAlignment="1">
      <alignment horizontal="center" vertical="center"/>
    </xf>
    <xf numFmtId="0" fontId="10" fillId="0" borderId="19" xfId="0" applyFont="1" applyBorder="1" applyAlignment="1">
      <alignment horizontal="center" vertical="center"/>
    </xf>
    <xf numFmtId="0" fontId="10" fillId="0" borderId="17" xfId="0" applyFont="1" applyBorder="1" applyAlignment="1">
      <alignment horizontal="center" vertical="center"/>
    </xf>
    <xf numFmtId="0" fontId="10" fillId="0" borderId="17" xfId="0" applyFont="1" applyBorder="1" applyAlignment="1">
      <alignment vertical="center"/>
    </xf>
    <xf numFmtId="2" fontId="10" fillId="0" borderId="17" xfId="0" applyNumberFormat="1" applyFont="1" applyBorder="1" applyAlignment="1">
      <alignment horizontal="right" vertical="center"/>
    </xf>
    <xf numFmtId="182" fontId="10" fillId="0" borderId="17" xfId="0" applyNumberFormat="1" applyFont="1" applyBorder="1" applyAlignment="1">
      <alignment vertical="center"/>
    </xf>
    <xf numFmtId="182" fontId="10" fillId="0" borderId="20" xfId="0" applyNumberFormat="1" applyFont="1" applyBorder="1" applyAlignment="1">
      <alignment horizontal="right" vertical="center"/>
    </xf>
    <xf numFmtId="0" fontId="10" fillId="0" borderId="22" xfId="0" applyFont="1" applyBorder="1" applyAlignment="1">
      <alignment horizontal="left" vertical="center"/>
    </xf>
    <xf numFmtId="0" fontId="10" fillId="0" borderId="22" xfId="0" applyFont="1" applyBorder="1" applyAlignment="1">
      <alignment horizontal="center" vertical="center"/>
    </xf>
    <xf numFmtId="2" fontId="10" fillId="0" borderId="23" xfId="0" applyNumberFormat="1" applyFont="1" applyBorder="1" applyAlignment="1">
      <alignment horizontal="center" vertical="center"/>
    </xf>
    <xf numFmtId="182" fontId="10" fillId="0" borderId="24" xfId="0" applyNumberFormat="1" applyFont="1" applyBorder="1" applyAlignment="1">
      <alignment horizontal="left" vertical="center"/>
    </xf>
    <xf numFmtId="182" fontId="10" fillId="0" borderId="49" xfId="48" applyNumberFormat="1" applyFont="1" applyFill="1" applyBorder="1" applyAlignment="1" applyProtection="1">
      <alignment horizontal="right"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4" xfId="0" applyFont="1" applyBorder="1" applyAlignment="1">
      <alignment vertical="center"/>
    </xf>
    <xf numFmtId="0" fontId="10" fillId="0" borderId="0" xfId="0" applyFont="1" applyAlignment="1">
      <alignment horizontal="left" vertical="center"/>
    </xf>
    <xf numFmtId="0" fontId="10" fillId="0" borderId="21" xfId="0" applyFont="1" applyBorder="1" applyAlignment="1">
      <alignment horizontal="center" vertical="center"/>
    </xf>
    <xf numFmtId="0" fontId="10" fillId="0" borderId="9" xfId="0" applyFont="1" applyBorder="1" applyAlignment="1">
      <alignment vertical="center"/>
    </xf>
    <xf numFmtId="44" fontId="0" fillId="0" borderId="0" xfId="0" applyNumberFormat="1" applyAlignment="1">
      <alignment vertical="center"/>
    </xf>
    <xf numFmtId="0" fontId="13" fillId="0" borderId="0" xfId="0" applyFont="1"/>
    <xf numFmtId="44" fontId="13" fillId="0" borderId="0" xfId="2" applyFont="1"/>
    <xf numFmtId="10" fontId="0" fillId="0" borderId="0" xfId="1" applyNumberFormat="1" applyFont="1"/>
    <xf numFmtId="0" fontId="9" fillId="0" borderId="0" xfId="0" applyFont="1"/>
    <xf numFmtId="44" fontId="0" fillId="0" borderId="0" xfId="2" applyFont="1"/>
    <xf numFmtId="170" fontId="13" fillId="0" borderId="0" xfId="0" applyNumberFormat="1" applyFont="1"/>
    <xf numFmtId="170" fontId="9" fillId="0" borderId="0" xfId="0" applyNumberFormat="1" applyFont="1"/>
    <xf numFmtId="44" fontId="13" fillId="0" borderId="0" xfId="0" applyNumberFormat="1" applyFont="1" applyAlignment="1">
      <alignment horizontal="right" vertical="center"/>
    </xf>
    <xf numFmtId="170" fontId="0" fillId="0" borderId="0" xfId="0" applyNumberFormat="1" applyAlignment="1" applyProtection="1">
      <alignment horizontal="right" vertical="center"/>
      <protection hidden="1"/>
    </xf>
    <xf numFmtId="170" fontId="0" fillId="0" borderId="0" xfId="0" applyNumberFormat="1"/>
    <xf numFmtId="194" fontId="9" fillId="5" borderId="9" xfId="0"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13" fillId="0" borderId="9" xfId="0" applyFont="1" applyBorder="1" applyAlignment="1">
      <alignment horizontal="center" vertical="center"/>
    </xf>
    <xf numFmtId="49" fontId="13" fillId="0" borderId="9" xfId="0" applyNumberFormat="1" applyFont="1" applyBorder="1" applyAlignment="1">
      <alignment horizontal="center" vertical="center" wrapText="1"/>
    </xf>
    <xf numFmtId="0" fontId="13" fillId="0" borderId="35"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12" xfId="0" applyFont="1" applyBorder="1" applyAlignment="1">
      <alignment horizontal="center" vertical="center"/>
    </xf>
    <xf numFmtId="0" fontId="13" fillId="0" borderId="18" xfId="0" applyFont="1" applyBorder="1" applyAlignment="1">
      <alignment horizontal="center" vertical="center"/>
    </xf>
    <xf numFmtId="0" fontId="13" fillId="0" borderId="0" xfId="6" applyFont="1" applyAlignment="1" applyProtection="1">
      <alignment horizontal="left" vertical="center"/>
      <protection hidden="1"/>
    </xf>
    <xf numFmtId="0" fontId="13" fillId="0" borderId="0" xfId="6" quotePrefix="1" applyFont="1" applyAlignment="1" applyProtection="1">
      <alignment horizontal="left" vertical="center"/>
      <protection hidden="1"/>
    </xf>
    <xf numFmtId="177" fontId="13" fillId="0" borderId="0" xfId="6" applyNumberFormat="1" applyFont="1" applyAlignment="1" applyProtection="1">
      <alignment horizontal="left" vertical="center"/>
      <protection hidden="1"/>
    </xf>
    <xf numFmtId="182" fontId="13" fillId="0" borderId="0" xfId="0" applyNumberFormat="1" applyFont="1" applyAlignment="1" applyProtection="1">
      <alignment horizontal="left" vertical="center"/>
      <protection hidden="1"/>
    </xf>
    <xf numFmtId="182" fontId="13" fillId="0" borderId="0" xfId="6" applyNumberFormat="1" applyFont="1" applyAlignment="1" applyProtection="1">
      <alignment horizontal="left" vertical="center"/>
      <protection hidden="1"/>
    </xf>
    <xf numFmtId="182" fontId="13" fillId="0" borderId="0" xfId="6" quotePrefix="1" applyNumberFormat="1" applyFont="1" applyAlignment="1" applyProtection="1">
      <alignment horizontal="left" vertical="center"/>
      <protection hidden="1"/>
    </xf>
    <xf numFmtId="182" fontId="13" fillId="0" borderId="0" xfId="2" applyNumberFormat="1" applyFont="1" applyFill="1" applyAlignment="1" applyProtection="1">
      <alignment horizontal="left" vertical="center"/>
      <protection hidden="1"/>
    </xf>
    <xf numFmtId="10" fontId="13" fillId="0" borderId="0" xfId="1" applyNumberFormat="1" applyFont="1" applyFill="1" applyBorder="1" applyAlignment="1" applyProtection="1">
      <alignment horizontal="left" vertical="center"/>
      <protection hidden="1"/>
    </xf>
    <xf numFmtId="0" fontId="13" fillId="0" borderId="0" xfId="2" applyNumberFormat="1" applyFont="1" applyFill="1" applyAlignment="1" applyProtection="1">
      <alignment horizontal="left" vertical="center"/>
      <protection hidden="1"/>
    </xf>
    <xf numFmtId="182" fontId="13" fillId="0" borderId="0" xfId="2" applyNumberFormat="1" applyFont="1" applyFill="1" applyBorder="1" applyAlignment="1" applyProtection="1">
      <alignment horizontal="left" vertical="center"/>
      <protection hidden="1"/>
    </xf>
    <xf numFmtId="10" fontId="0" fillId="0" borderId="0" xfId="1" applyNumberFormat="1" applyFont="1" applyAlignment="1">
      <alignment horizontal="left"/>
    </xf>
    <xf numFmtId="177" fontId="0" fillId="0" borderId="0" xfId="0" applyNumberFormat="1" applyAlignment="1">
      <alignment horizontal="left"/>
    </xf>
    <xf numFmtId="14" fontId="0" fillId="0" borderId="0" xfId="0" applyNumberFormat="1" applyAlignment="1">
      <alignment horizontal="left"/>
    </xf>
    <xf numFmtId="0" fontId="13" fillId="4" borderId="9" xfId="0" applyFont="1" applyFill="1" applyBorder="1" applyAlignment="1" applyProtection="1">
      <alignment horizontal="left" vertical="center"/>
      <protection locked="0"/>
    </xf>
    <xf numFmtId="0" fontId="13" fillId="3" borderId="9" xfId="0" applyFont="1" applyFill="1" applyBorder="1" applyAlignment="1" applyProtection="1">
      <alignment horizontal="left" vertical="center"/>
      <protection locked="0"/>
    </xf>
    <xf numFmtId="0" fontId="13" fillId="3" borderId="9" xfId="6" applyFont="1" applyFill="1" applyBorder="1" applyAlignment="1" applyProtection="1">
      <alignment horizontal="left" vertical="center" shrinkToFit="1"/>
      <protection locked="0"/>
    </xf>
    <xf numFmtId="165" fontId="13" fillId="3" borderId="9" xfId="6" applyNumberFormat="1" applyFont="1" applyFill="1" applyBorder="1" applyAlignment="1" applyProtection="1">
      <alignment horizontal="left" vertical="center"/>
      <protection locked="0"/>
    </xf>
    <xf numFmtId="0" fontId="13" fillId="0" borderId="0" xfId="0" applyFont="1" applyAlignment="1" applyProtection="1">
      <alignment horizontal="left" vertical="center"/>
      <protection locked="0"/>
    </xf>
    <xf numFmtId="44" fontId="9" fillId="3" borderId="9" xfId="2" applyFont="1" applyFill="1" applyBorder="1" applyAlignment="1" applyProtection="1">
      <alignment horizontal="center" vertical="center"/>
      <protection locked="0"/>
    </xf>
    <xf numFmtId="0" fontId="9" fillId="3" borderId="47" xfId="0" applyFont="1" applyFill="1" applyBorder="1"/>
    <xf numFmtId="0" fontId="0" fillId="3" borderId="47" xfId="0" applyFill="1" applyBorder="1"/>
    <xf numFmtId="14" fontId="13" fillId="0" borderId="0" xfId="6" applyNumberFormat="1" applyFont="1" applyAlignment="1" applyProtection="1">
      <alignment horizontal="left" vertical="center"/>
      <protection hidden="1"/>
    </xf>
    <xf numFmtId="0" fontId="12" fillId="0" borderId="0" xfId="0" applyFont="1" applyAlignment="1" applyProtection="1">
      <alignment horizontal="right" vertical="center"/>
      <protection hidden="1"/>
    </xf>
    <xf numFmtId="0" fontId="41" fillId="0" borderId="0" xfId="6" quotePrefix="1" applyFont="1" applyAlignment="1" applyProtection="1">
      <alignment horizontal="left" vertical="center"/>
      <protection hidden="1"/>
    </xf>
    <xf numFmtId="4" fontId="0" fillId="0" borderId="0" xfId="0" applyNumberFormat="1"/>
    <xf numFmtId="44" fontId="10" fillId="0" borderId="0" xfId="2" applyFont="1" applyBorder="1" applyAlignment="1">
      <alignment vertical="center"/>
    </xf>
    <xf numFmtId="0" fontId="10" fillId="0" borderId="9" xfId="0" applyFont="1" applyBorder="1" applyAlignment="1">
      <alignment horizontal="center" vertical="center"/>
    </xf>
    <xf numFmtId="44" fontId="10" fillId="0" borderId="9" xfId="2" applyFont="1" applyBorder="1" applyAlignment="1">
      <alignment vertical="center"/>
    </xf>
    <xf numFmtId="44" fontId="0" fillId="0" borderId="0" xfId="2" applyFont="1" applyFill="1"/>
    <xf numFmtId="0" fontId="9" fillId="7" borderId="0" xfId="6" applyFill="1" applyAlignment="1" applyProtection="1">
      <alignment vertical="center"/>
      <protection hidden="1"/>
    </xf>
    <xf numFmtId="49" fontId="13" fillId="3" borderId="9" xfId="6" applyNumberFormat="1" applyFont="1" applyFill="1" applyBorder="1" applyAlignment="1" applyProtection="1">
      <alignment horizontal="left" vertical="center"/>
      <protection locked="0"/>
    </xf>
    <xf numFmtId="0" fontId="13" fillId="3" borderId="9" xfId="6" applyFont="1" applyFill="1" applyBorder="1" applyAlignment="1" applyProtection="1">
      <alignment horizontal="left" vertical="center"/>
      <protection locked="0"/>
    </xf>
    <xf numFmtId="14" fontId="13" fillId="3" borderId="9" xfId="6" applyNumberFormat="1" applyFont="1" applyFill="1" applyBorder="1" applyAlignment="1" applyProtection="1">
      <alignment horizontal="left" vertical="center"/>
      <protection locked="0"/>
    </xf>
    <xf numFmtId="177" fontId="13" fillId="3" borderId="9" xfId="6" applyNumberFormat="1" applyFont="1" applyFill="1" applyBorder="1" applyAlignment="1" applyProtection="1">
      <alignment horizontal="left" vertical="center"/>
      <protection locked="0"/>
    </xf>
    <xf numFmtId="10" fontId="13" fillId="3" borderId="9" xfId="1" applyNumberFormat="1" applyFont="1" applyFill="1" applyBorder="1" applyAlignment="1" applyProtection="1">
      <alignment horizontal="left" vertical="center"/>
      <protection locked="0"/>
    </xf>
    <xf numFmtId="172" fontId="9" fillId="7" borderId="0" xfId="6" applyNumberFormat="1" applyFill="1" applyAlignment="1" applyProtection="1">
      <alignment vertical="center"/>
      <protection hidden="1"/>
    </xf>
    <xf numFmtId="10" fontId="9" fillId="7" borderId="0" xfId="15" applyNumberFormat="1" applyFont="1" applyFill="1" applyBorder="1" applyAlignment="1" applyProtection="1">
      <alignment vertical="center"/>
      <protection locked="0"/>
    </xf>
    <xf numFmtId="10" fontId="9" fillId="7" borderId="0" xfId="6" applyNumberFormat="1" applyFill="1" applyAlignment="1" applyProtection="1">
      <alignment vertical="center"/>
      <protection hidden="1"/>
    </xf>
    <xf numFmtId="0" fontId="9" fillId="7" borderId="9" xfId="6" applyFill="1" applyBorder="1" applyAlignment="1" applyProtection="1">
      <alignment horizontal="right" vertical="center"/>
      <protection hidden="1"/>
    </xf>
    <xf numFmtId="10" fontId="9" fillId="7" borderId="9" xfId="15" applyNumberFormat="1" applyFont="1" applyFill="1" applyBorder="1" applyAlignment="1" applyProtection="1">
      <alignment vertical="center"/>
      <protection hidden="1"/>
    </xf>
    <xf numFmtId="0" fontId="9" fillId="7" borderId="0" xfId="6" applyFill="1" applyAlignment="1" applyProtection="1">
      <alignment horizontal="center" vertical="center"/>
      <protection hidden="1"/>
    </xf>
    <xf numFmtId="0" fontId="9" fillId="7" borderId="0" xfId="6" applyFill="1" applyAlignment="1" applyProtection="1">
      <alignment horizontal="right" vertical="center"/>
      <protection hidden="1"/>
    </xf>
    <xf numFmtId="44" fontId="9" fillId="7" borderId="9" xfId="6" applyNumberFormat="1" applyFill="1" applyBorder="1" applyAlignment="1" applyProtection="1">
      <alignment vertical="center"/>
      <protection hidden="1"/>
    </xf>
    <xf numFmtId="44" fontId="42" fillId="0" borderId="0" xfId="2" applyFont="1" applyFill="1" applyAlignment="1" applyProtection="1">
      <alignment vertical="center"/>
      <protection hidden="1"/>
    </xf>
    <xf numFmtId="10" fontId="0" fillId="0" borderId="9" xfId="1" applyNumberFormat="1" applyFont="1" applyFill="1" applyBorder="1" applyAlignment="1">
      <alignment vertical="center"/>
    </xf>
    <xf numFmtId="0" fontId="13" fillId="0" borderId="15" xfId="0" applyFont="1" applyBorder="1" applyAlignment="1" applyProtection="1">
      <alignment horizontal="center" vertical="center"/>
      <protection hidden="1"/>
    </xf>
    <xf numFmtId="0" fontId="13" fillId="0" borderId="13" xfId="0" applyFont="1" applyBorder="1" applyAlignment="1" applyProtection="1">
      <alignment horizontal="left" vertical="center"/>
      <protection hidden="1"/>
    </xf>
    <xf numFmtId="0" fontId="0" fillId="0" borderId="15" xfId="0" applyBorder="1" applyAlignment="1" applyProtection="1">
      <alignment vertical="center"/>
      <protection hidden="1"/>
    </xf>
    <xf numFmtId="0" fontId="13" fillId="0" borderId="15" xfId="0" applyFont="1" applyBorder="1" applyAlignment="1" applyProtection="1">
      <alignment horizontal="center" vertical="center" wrapText="1"/>
      <protection hidden="1"/>
    </xf>
    <xf numFmtId="0" fontId="9" fillId="8" borderId="14" xfId="0" applyFont="1" applyFill="1" applyBorder="1" applyAlignment="1">
      <alignment horizontal="left" vertical="center"/>
    </xf>
    <xf numFmtId="4" fontId="9" fillId="8" borderId="30" xfId="0" applyNumberFormat="1" applyFont="1" applyFill="1" applyBorder="1" applyAlignment="1">
      <alignment horizontal="center" vertical="center"/>
    </xf>
    <xf numFmtId="183" fontId="9" fillId="8" borderId="30" xfId="2" applyNumberFormat="1" applyFont="1" applyFill="1" applyBorder="1" applyAlignment="1" applyProtection="1">
      <alignment vertical="center"/>
      <protection hidden="1"/>
    </xf>
    <xf numFmtId="0" fontId="13" fillId="8" borderId="31" xfId="0" applyFont="1" applyFill="1" applyBorder="1" applyAlignment="1">
      <alignment horizontal="center" vertical="center"/>
    </xf>
    <xf numFmtId="0" fontId="13" fillId="8" borderId="28" xfId="0" applyFont="1" applyFill="1" applyBorder="1" applyAlignment="1">
      <alignment horizontal="left" vertical="center"/>
    </xf>
    <xf numFmtId="0" fontId="15" fillId="8" borderId="28" xfId="0" applyFont="1" applyFill="1" applyBorder="1" applyAlignment="1">
      <alignment horizontal="left" vertical="center"/>
    </xf>
    <xf numFmtId="0" fontId="13" fillId="8" borderId="28" xfId="0" applyFont="1" applyFill="1" applyBorder="1" applyAlignment="1">
      <alignment horizontal="right" vertical="center"/>
    </xf>
    <xf numFmtId="0" fontId="0" fillId="8" borderId="28" xfId="0" applyFill="1" applyBorder="1" applyAlignment="1">
      <alignment vertical="center"/>
    </xf>
    <xf numFmtId="44" fontId="13" fillId="8" borderId="29" xfId="0" applyNumberFormat="1" applyFont="1" applyFill="1" applyBorder="1" applyAlignment="1">
      <alignment vertical="center"/>
    </xf>
    <xf numFmtId="0" fontId="13" fillId="8" borderId="13" xfId="0" applyFont="1" applyFill="1" applyBorder="1" applyAlignment="1">
      <alignment horizontal="center" vertical="center"/>
    </xf>
    <xf numFmtId="0" fontId="13" fillId="8" borderId="0" xfId="0" applyFont="1" applyFill="1" applyAlignment="1">
      <alignment horizontal="left" vertical="center"/>
    </xf>
    <xf numFmtId="0" fontId="15" fillId="8" borderId="0" xfId="0" applyFont="1" applyFill="1" applyAlignment="1">
      <alignment horizontal="left" vertical="center"/>
    </xf>
    <xf numFmtId="0" fontId="13" fillId="8" borderId="0" xfId="0" applyFont="1" applyFill="1" applyAlignment="1">
      <alignment horizontal="right" vertical="center"/>
    </xf>
    <xf numFmtId="10" fontId="0" fillId="8" borderId="0" xfId="1" applyNumberFormat="1" applyFont="1" applyFill="1" applyBorder="1" applyAlignment="1" applyProtection="1">
      <alignment vertical="center"/>
    </xf>
    <xf numFmtId="44" fontId="13" fillId="8" borderId="32" xfId="0" applyNumberFormat="1" applyFont="1" applyFill="1" applyBorder="1" applyAlignment="1">
      <alignment vertical="center"/>
    </xf>
    <xf numFmtId="0" fontId="0" fillId="8" borderId="0" xfId="0" applyFill="1" applyAlignment="1">
      <alignment vertical="center"/>
    </xf>
    <xf numFmtId="10" fontId="13" fillId="8" borderId="0" xfId="0" applyNumberFormat="1" applyFont="1" applyFill="1" applyAlignment="1">
      <alignment horizontal="left" vertical="center"/>
    </xf>
    <xf numFmtId="10" fontId="13" fillId="8" borderId="0" xfId="0" applyNumberFormat="1" applyFont="1" applyFill="1" applyAlignment="1">
      <alignment horizontal="right" vertical="center"/>
    </xf>
    <xf numFmtId="0" fontId="13" fillId="8" borderId="14" xfId="0" applyFont="1" applyFill="1" applyBorder="1" applyAlignment="1">
      <alignment horizontal="center" vertical="center"/>
    </xf>
    <xf numFmtId="10" fontId="13" fillId="8" borderId="27" xfId="0" applyNumberFormat="1" applyFont="1" applyFill="1" applyBorder="1" applyAlignment="1">
      <alignment horizontal="left" vertical="center"/>
    </xf>
    <xf numFmtId="10" fontId="0" fillId="8" borderId="27" xfId="1" applyNumberFormat="1" applyFont="1" applyFill="1" applyBorder="1" applyAlignment="1" applyProtection="1">
      <alignment vertical="center"/>
    </xf>
    <xf numFmtId="10" fontId="13" fillId="8" borderId="27" xfId="0" applyNumberFormat="1" applyFont="1" applyFill="1" applyBorder="1" applyAlignment="1">
      <alignment horizontal="right" vertical="center"/>
    </xf>
    <xf numFmtId="0" fontId="0" fillId="8" borderId="27" xfId="0" applyFill="1" applyBorder="1" applyAlignment="1">
      <alignment vertical="center"/>
    </xf>
    <xf numFmtId="44" fontId="13" fillId="8" borderId="16" xfId="0" applyNumberFormat="1" applyFont="1" applyFill="1" applyBorder="1" applyAlignment="1">
      <alignment vertical="center"/>
    </xf>
    <xf numFmtId="0" fontId="0" fillId="8" borderId="27" xfId="0" applyFill="1" applyBorder="1" applyAlignment="1" applyProtection="1">
      <alignment vertical="center"/>
      <protection hidden="1"/>
    </xf>
    <xf numFmtId="0" fontId="11" fillId="8" borderId="27" xfId="0" applyFont="1" applyFill="1" applyBorder="1" applyAlignment="1" applyProtection="1">
      <alignment horizontal="left" vertical="center"/>
      <protection hidden="1"/>
    </xf>
    <xf numFmtId="10" fontId="13" fillId="8" borderId="27" xfId="0" applyNumberFormat="1" applyFont="1" applyFill="1" applyBorder="1" applyAlignment="1" applyProtection="1">
      <alignment horizontal="right" vertical="center"/>
      <protection hidden="1"/>
    </xf>
    <xf numFmtId="44" fontId="13" fillId="8" borderId="27" xfId="2" applyFont="1" applyFill="1" applyBorder="1" applyAlignment="1" applyProtection="1">
      <alignment vertical="center"/>
    </xf>
    <xf numFmtId="0" fontId="9" fillId="9" borderId="14" xfId="0" applyFont="1" applyFill="1" applyBorder="1" applyAlignment="1">
      <alignment horizontal="center" vertical="center"/>
    </xf>
    <xf numFmtId="4" fontId="9" fillId="9" borderId="30" xfId="0" applyNumberFormat="1" applyFont="1" applyFill="1" applyBorder="1" applyAlignment="1" applyProtection="1">
      <alignment vertical="center"/>
      <protection locked="0"/>
    </xf>
    <xf numFmtId="183" fontId="9" fillId="8" borderId="9" xfId="2" applyNumberFormat="1" applyFont="1" applyFill="1" applyBorder="1" applyAlignment="1" applyProtection="1">
      <alignment vertical="center"/>
      <protection hidden="1"/>
    </xf>
    <xf numFmtId="0" fontId="9" fillId="8" borderId="12" xfId="0" applyFont="1" applyFill="1" applyBorder="1" applyAlignment="1">
      <alignment horizontal="left" vertical="center"/>
    </xf>
    <xf numFmtId="4" fontId="9" fillId="8" borderId="9" xfId="0" applyNumberFormat="1" applyFont="1" applyFill="1" applyBorder="1" applyAlignment="1">
      <alignment horizontal="center" vertical="center"/>
    </xf>
    <xf numFmtId="0" fontId="0" fillId="8" borderId="0" xfId="0" applyFill="1" applyAlignment="1" applyProtection="1">
      <alignment vertical="center"/>
      <protection hidden="1"/>
    </xf>
    <xf numFmtId="0" fontId="11" fillId="8" borderId="0" xfId="0" applyFont="1" applyFill="1" applyAlignment="1" applyProtection="1">
      <alignment horizontal="left" vertical="center"/>
      <protection hidden="1"/>
    </xf>
    <xf numFmtId="10" fontId="13" fillId="8" borderId="0" xfId="0" applyNumberFormat="1" applyFont="1" applyFill="1" applyAlignment="1" applyProtection="1">
      <alignment horizontal="right" vertical="center"/>
      <protection hidden="1"/>
    </xf>
    <xf numFmtId="44" fontId="13" fillId="8" borderId="0" xfId="2" applyFont="1" applyFill="1" applyAlignment="1" applyProtection="1">
      <alignment vertical="center"/>
    </xf>
    <xf numFmtId="4" fontId="9" fillId="9" borderId="9" xfId="0" applyNumberFormat="1" applyFont="1" applyFill="1" applyBorder="1" applyAlignment="1" applyProtection="1">
      <alignment vertical="center"/>
      <protection locked="0"/>
    </xf>
    <xf numFmtId="44" fontId="12" fillId="0" borderId="0" xfId="2" applyFont="1" applyBorder="1" applyAlignment="1">
      <alignment horizontal="center" vertical="center"/>
    </xf>
    <xf numFmtId="0" fontId="9" fillId="0" borderId="0" xfId="0" applyFont="1" applyAlignment="1" applyProtection="1">
      <alignment horizontal="center" vertical="center"/>
      <protection hidden="1"/>
    </xf>
    <xf numFmtId="0" fontId="9" fillId="9" borderId="9" xfId="0" applyFont="1" applyFill="1" applyBorder="1" applyAlignment="1" applyProtection="1">
      <alignment horizontal="center" vertical="center"/>
      <protection locked="0"/>
    </xf>
    <xf numFmtId="4" fontId="9" fillId="0" borderId="0" xfId="0" applyNumberFormat="1" applyFont="1" applyAlignment="1" applyProtection="1">
      <alignment vertical="center"/>
      <protection locked="0"/>
    </xf>
    <xf numFmtId="183" fontId="9" fillId="5" borderId="12" xfId="2" applyNumberFormat="1" applyFont="1" applyFill="1" applyBorder="1" applyAlignment="1" applyProtection="1">
      <alignment vertical="center"/>
      <protection hidden="1"/>
    </xf>
    <xf numFmtId="183" fontId="9" fillId="5" borderId="14" xfId="2" applyNumberFormat="1" applyFont="1" applyFill="1" applyBorder="1" applyAlignment="1" applyProtection="1">
      <alignment vertical="center"/>
      <protection hidden="1"/>
    </xf>
    <xf numFmtId="0" fontId="44" fillId="0" borderId="0" xfId="0" applyFont="1" applyAlignment="1" applyProtection="1">
      <alignment vertical="center"/>
      <protection hidden="1"/>
    </xf>
    <xf numFmtId="0" fontId="13" fillId="5" borderId="9" xfId="0" applyFont="1" applyFill="1" applyBorder="1" applyAlignment="1" applyProtection="1">
      <alignment horizontal="center" vertical="center"/>
      <protection locked="0"/>
    </xf>
    <xf numFmtId="182" fontId="10" fillId="0" borderId="30" xfId="0" applyNumberFormat="1" applyFont="1" applyBorder="1" applyAlignment="1">
      <alignment horizontal="center" vertical="center"/>
    </xf>
    <xf numFmtId="0" fontId="10" fillId="0" borderId="25" xfId="0" applyFont="1" applyBorder="1" applyAlignment="1">
      <alignment horizontal="center" vertical="center" wrapText="1"/>
    </xf>
    <xf numFmtId="44" fontId="13" fillId="0" borderId="0" xfId="2" applyFont="1" applyFill="1" applyBorder="1" applyAlignment="1" applyProtection="1">
      <alignment vertical="center"/>
      <protection hidden="1"/>
    </xf>
    <xf numFmtId="195" fontId="13" fillId="0" borderId="0" xfId="6" applyNumberFormat="1" applyFont="1" applyAlignment="1" applyProtection="1">
      <alignment vertical="center"/>
      <protection hidden="1"/>
    </xf>
    <xf numFmtId="2" fontId="10" fillId="0" borderId="31" xfId="0" applyNumberFormat="1" applyFont="1" applyBorder="1" applyAlignment="1">
      <alignment horizontal="right" vertical="center"/>
    </xf>
    <xf numFmtId="0" fontId="10" fillId="0" borderId="12" xfId="0" applyFont="1" applyBorder="1" applyAlignment="1" applyProtection="1">
      <alignment vertical="center"/>
      <protection locked="0"/>
    </xf>
    <xf numFmtId="0" fontId="10" fillId="0" borderId="0" xfId="0" applyFont="1" applyAlignment="1" applyProtection="1">
      <alignment horizontal="left" vertical="center"/>
      <protection locked="0"/>
    </xf>
    <xf numFmtId="0" fontId="10" fillId="0" borderId="9" xfId="19" applyFont="1" applyBorder="1" applyAlignment="1">
      <alignment vertical="center"/>
    </xf>
    <xf numFmtId="0" fontId="10" fillId="0" borderId="9" xfId="5" applyFont="1" applyBorder="1" applyAlignment="1" applyProtection="1">
      <alignment horizontal="left" vertical="center"/>
      <protection locked="0"/>
    </xf>
    <xf numFmtId="2" fontId="10" fillId="0" borderId="31" xfId="0" applyNumberFormat="1" applyFont="1" applyBorder="1" applyAlignment="1">
      <alignment vertical="center"/>
    </xf>
    <xf numFmtId="2" fontId="10" fillId="0" borderId="9" xfId="80" applyNumberFormat="1" applyFont="1" applyFill="1" applyBorder="1" applyAlignment="1" applyProtection="1">
      <alignment vertical="center"/>
      <protection locked="0"/>
    </xf>
    <xf numFmtId="2" fontId="10" fillId="0" borderId="9" xfId="0" applyNumberFormat="1" applyFont="1" applyBorder="1" applyAlignment="1" applyProtection="1">
      <alignment vertical="center"/>
      <protection locked="0"/>
    </xf>
    <xf numFmtId="44" fontId="9" fillId="0" borderId="0" xfId="2" applyFont="1" applyFill="1" applyBorder="1" applyAlignment="1" applyProtection="1">
      <alignment vertical="center"/>
    </xf>
    <xf numFmtId="0" fontId="12" fillId="5" borderId="0" xfId="0" applyFont="1" applyFill="1" applyAlignment="1">
      <alignment vertical="center"/>
    </xf>
    <xf numFmtId="0" fontId="10" fillId="5" borderId="0" xfId="0" applyFont="1" applyFill="1" applyAlignment="1">
      <alignment horizontal="center" vertical="center"/>
    </xf>
    <xf numFmtId="44" fontId="10" fillId="5" borderId="0" xfId="2" applyFont="1" applyFill="1" applyBorder="1" applyAlignment="1">
      <alignment vertical="center"/>
    </xf>
    <xf numFmtId="0" fontId="10" fillId="5" borderId="0" xfId="0" applyFont="1" applyFill="1" applyAlignment="1">
      <alignment vertical="center"/>
    </xf>
    <xf numFmtId="10" fontId="0" fillId="0" borderId="52" xfId="1" applyNumberFormat="1" applyFont="1" applyFill="1" applyBorder="1" applyAlignment="1">
      <alignment vertical="center"/>
    </xf>
    <xf numFmtId="182" fontId="13" fillId="0" borderId="0" xfId="1" applyNumberFormat="1" applyFont="1" applyFill="1" applyBorder="1" applyAlignment="1" applyProtection="1">
      <alignment horizontal="center" vertical="center"/>
      <protection hidden="1"/>
    </xf>
    <xf numFmtId="0" fontId="9" fillId="4" borderId="9" xfId="0" applyFont="1" applyFill="1" applyBorder="1" applyAlignment="1">
      <alignment horizontal="center" vertical="center"/>
    </xf>
    <xf numFmtId="170" fontId="9" fillId="0" borderId="0" xfId="0" applyNumberFormat="1" applyFont="1" applyAlignment="1">
      <alignment horizontal="right" vertical="center"/>
    </xf>
    <xf numFmtId="0" fontId="9" fillId="10" borderId="14" xfId="0" applyFont="1" applyFill="1" applyBorder="1" applyAlignment="1">
      <alignment horizontal="left" vertical="center"/>
    </xf>
    <xf numFmtId="4" fontId="9" fillId="10" borderId="30" xfId="0" applyNumberFormat="1" applyFont="1" applyFill="1" applyBorder="1" applyAlignment="1">
      <alignment horizontal="center" vertical="center"/>
    </xf>
    <xf numFmtId="0" fontId="9" fillId="10" borderId="12" xfId="0" applyFont="1" applyFill="1" applyBorder="1" applyAlignment="1">
      <alignment horizontal="left" vertical="center"/>
    </xf>
    <xf numFmtId="4" fontId="9" fillId="10" borderId="9" xfId="0" applyNumberFormat="1" applyFont="1" applyFill="1" applyBorder="1" applyAlignment="1">
      <alignment horizontal="center" vertical="center"/>
    </xf>
    <xf numFmtId="183" fontId="9" fillId="10" borderId="9" xfId="2" applyNumberFormat="1" applyFont="1" applyFill="1" applyBorder="1" applyAlignment="1" applyProtection="1">
      <alignment vertical="center"/>
      <protection hidden="1"/>
    </xf>
    <xf numFmtId="0" fontId="13" fillId="10" borderId="31" xfId="0" applyFont="1" applyFill="1" applyBorder="1" applyAlignment="1">
      <alignment horizontal="center" vertical="center"/>
    </xf>
    <xf numFmtId="0" fontId="13" fillId="10" borderId="28" xfId="0" applyFont="1" applyFill="1" applyBorder="1" applyAlignment="1">
      <alignment horizontal="left" vertical="center"/>
    </xf>
    <xf numFmtId="0" fontId="15" fillId="10" borderId="28" xfId="0" applyFont="1" applyFill="1" applyBorder="1" applyAlignment="1">
      <alignment horizontal="left" vertical="center"/>
    </xf>
    <xf numFmtId="0" fontId="13" fillId="10" borderId="28" xfId="0" applyFont="1" applyFill="1" applyBorder="1" applyAlignment="1">
      <alignment horizontal="right" vertical="center"/>
    </xf>
    <xf numFmtId="0" fontId="0" fillId="10" borderId="28" xfId="0" applyFill="1" applyBorder="1" applyAlignment="1">
      <alignment vertical="center"/>
    </xf>
    <xf numFmtId="44" fontId="13" fillId="10" borderId="29" xfId="0" applyNumberFormat="1" applyFont="1" applyFill="1" applyBorder="1" applyAlignment="1">
      <alignment vertical="center"/>
    </xf>
    <xf numFmtId="0" fontId="13" fillId="10" borderId="13" xfId="0" applyFont="1" applyFill="1" applyBorder="1" applyAlignment="1">
      <alignment horizontal="center" vertical="center"/>
    </xf>
    <xf numFmtId="0" fontId="13" fillId="10" borderId="0" xfId="0" applyFont="1" applyFill="1" applyAlignment="1">
      <alignment horizontal="left" vertical="center"/>
    </xf>
    <xf numFmtId="0" fontId="15" fillId="10" borderId="0" xfId="0" applyFont="1" applyFill="1" applyAlignment="1">
      <alignment horizontal="left" vertical="center"/>
    </xf>
    <xf numFmtId="0" fontId="13" fillId="10" borderId="0" xfId="0" applyFont="1" applyFill="1" applyAlignment="1">
      <alignment horizontal="right" vertical="center"/>
    </xf>
    <xf numFmtId="10" fontId="0" fillId="10" borderId="0" xfId="1" applyNumberFormat="1" applyFont="1" applyFill="1" applyBorder="1" applyAlignment="1" applyProtection="1">
      <alignment vertical="center"/>
    </xf>
    <xf numFmtId="44" fontId="13" fillId="10" borderId="32" xfId="0" applyNumberFormat="1" applyFont="1" applyFill="1" applyBorder="1" applyAlignment="1">
      <alignment vertical="center"/>
    </xf>
    <xf numFmtId="0" fontId="0" fillId="10" borderId="0" xfId="0" applyFill="1" applyAlignment="1">
      <alignment vertical="center"/>
    </xf>
    <xf numFmtId="10" fontId="13" fillId="10" borderId="0" xfId="0" applyNumberFormat="1" applyFont="1" applyFill="1" applyAlignment="1">
      <alignment horizontal="left" vertical="center"/>
    </xf>
    <xf numFmtId="10" fontId="13" fillId="10" borderId="0" xfId="0" applyNumberFormat="1" applyFont="1" applyFill="1" applyAlignment="1">
      <alignment horizontal="right" vertical="center"/>
    </xf>
    <xf numFmtId="0" fontId="13" fillId="10" borderId="14" xfId="0" applyFont="1" applyFill="1" applyBorder="1" applyAlignment="1">
      <alignment horizontal="center" vertical="center"/>
    </xf>
    <xf numFmtId="10" fontId="13" fillId="10" borderId="27" xfId="0" applyNumberFormat="1" applyFont="1" applyFill="1" applyBorder="1" applyAlignment="1">
      <alignment horizontal="left" vertical="center"/>
    </xf>
    <xf numFmtId="10" fontId="0" fillId="10" borderId="27" xfId="1" applyNumberFormat="1" applyFont="1" applyFill="1" applyBorder="1" applyAlignment="1" applyProtection="1">
      <alignment vertical="center"/>
    </xf>
    <xf numFmtId="10" fontId="13" fillId="10" borderId="27" xfId="0" applyNumberFormat="1" applyFont="1" applyFill="1" applyBorder="1" applyAlignment="1">
      <alignment horizontal="right" vertical="center"/>
    </xf>
    <xf numFmtId="0" fontId="0" fillId="10" borderId="27" xfId="0" applyFill="1" applyBorder="1" applyAlignment="1">
      <alignment vertical="center"/>
    </xf>
    <xf numFmtId="44" fontId="13" fillId="10" borderId="16" xfId="0" applyNumberFormat="1" applyFont="1" applyFill="1" applyBorder="1" applyAlignment="1">
      <alignment vertical="center"/>
    </xf>
    <xf numFmtId="0" fontId="0" fillId="10" borderId="0" xfId="0" applyFill="1" applyAlignment="1" applyProtection="1">
      <alignment vertical="center"/>
      <protection hidden="1"/>
    </xf>
    <xf numFmtId="0" fontId="11" fillId="10" borderId="0" xfId="0" applyFont="1" applyFill="1" applyAlignment="1" applyProtection="1">
      <alignment horizontal="left" vertical="center"/>
      <protection hidden="1"/>
    </xf>
    <xf numFmtId="10" fontId="13" fillId="10" borderId="0" xfId="0" applyNumberFormat="1" applyFont="1" applyFill="1" applyAlignment="1" applyProtection="1">
      <alignment horizontal="right" vertical="center"/>
      <protection hidden="1"/>
    </xf>
    <xf numFmtId="44" fontId="13" fillId="10" borderId="0" xfId="2" applyFont="1" applyFill="1" applyAlignment="1" applyProtection="1">
      <alignment vertical="center"/>
    </xf>
    <xf numFmtId="0" fontId="9" fillId="11" borderId="14" xfId="0" applyFont="1" applyFill="1" applyBorder="1" applyAlignment="1">
      <alignment horizontal="center" vertical="center"/>
    </xf>
    <xf numFmtId="4" fontId="9" fillId="11" borderId="30" xfId="0" applyNumberFormat="1" applyFont="1" applyFill="1" applyBorder="1" applyAlignment="1" applyProtection="1">
      <alignment vertical="center"/>
      <protection locked="0"/>
    </xf>
    <xf numFmtId="4" fontId="9" fillId="11" borderId="9" xfId="0" applyNumberFormat="1" applyFont="1" applyFill="1" applyBorder="1" applyAlignment="1" applyProtection="1">
      <alignment vertical="center"/>
      <protection locked="0"/>
    </xf>
    <xf numFmtId="183" fontId="9" fillId="10" borderId="30" xfId="2" applyNumberFormat="1" applyFont="1" applyFill="1" applyBorder="1" applyAlignment="1" applyProtection="1">
      <alignment vertical="center"/>
      <protection hidden="1"/>
    </xf>
    <xf numFmtId="44" fontId="0" fillId="0" borderId="0" xfId="2" applyFont="1" applyFill="1" applyBorder="1" applyAlignment="1" applyProtection="1">
      <alignment vertical="center"/>
    </xf>
    <xf numFmtId="183" fontId="0" fillId="0" borderId="0" xfId="0" applyNumberFormat="1"/>
    <xf numFmtId="169" fontId="9" fillId="0" borderId="0" xfId="0" applyNumberFormat="1" applyFont="1" applyAlignment="1">
      <alignment vertical="center"/>
    </xf>
    <xf numFmtId="169" fontId="0" fillId="0" borderId="0" xfId="0" applyNumberFormat="1"/>
    <xf numFmtId="169" fontId="46" fillId="0" borderId="0" xfId="0" applyNumberFormat="1" applyFont="1"/>
    <xf numFmtId="189" fontId="13" fillId="0" borderId="0" xfId="6" applyNumberFormat="1" applyFont="1" applyAlignment="1" applyProtection="1">
      <alignment vertical="center"/>
      <protection hidden="1"/>
    </xf>
    <xf numFmtId="44" fontId="7" fillId="0" borderId="0" xfId="2" applyFont="1"/>
    <xf numFmtId="0" fontId="0" fillId="0" borderId="0" xfId="0" applyAlignment="1">
      <alignment horizontal="right"/>
    </xf>
    <xf numFmtId="166" fontId="0" fillId="0" borderId="0" xfId="0" applyNumberFormat="1"/>
    <xf numFmtId="0" fontId="1" fillId="0" borderId="0" xfId="3" applyFont="1"/>
    <xf numFmtId="10" fontId="9" fillId="0" borderId="9" xfId="15" applyNumberFormat="1" applyFont="1" applyFill="1" applyBorder="1" applyAlignment="1" applyProtection="1">
      <alignment vertical="center"/>
      <protection hidden="1"/>
    </xf>
    <xf numFmtId="44" fontId="9" fillId="0" borderId="0" xfId="0" applyNumberFormat="1" applyFont="1" applyAlignment="1">
      <alignment vertical="center"/>
    </xf>
    <xf numFmtId="10" fontId="9" fillId="0" borderId="50" xfId="15" applyNumberFormat="1" applyFont="1" applyFill="1" applyBorder="1" applyAlignment="1" applyProtection="1">
      <alignment vertical="center"/>
      <protection locked="0"/>
    </xf>
    <xf numFmtId="10" fontId="9" fillId="0" borderId="51" xfId="15" applyNumberFormat="1" applyFont="1" applyFill="1" applyBorder="1" applyAlignment="1" applyProtection="1">
      <alignment vertical="center"/>
      <protection locked="0"/>
    </xf>
    <xf numFmtId="0" fontId="9" fillId="0" borderId="0" xfId="0" applyFont="1" applyAlignment="1">
      <alignment horizontal="right" vertical="center"/>
    </xf>
    <xf numFmtId="44" fontId="9" fillId="0" borderId="0" xfId="2" applyFont="1" applyFill="1" applyAlignment="1" applyProtection="1">
      <alignment horizontal="right" vertical="center"/>
    </xf>
    <xf numFmtId="44" fontId="0" fillId="0" borderId="0" xfId="2" applyFont="1" applyAlignment="1">
      <alignment horizontal="right"/>
    </xf>
    <xf numFmtId="172" fontId="9" fillId="0" borderId="0" xfId="6" applyNumberFormat="1" applyAlignment="1" applyProtection="1">
      <alignment vertical="center"/>
      <protection hidden="1"/>
    </xf>
    <xf numFmtId="1" fontId="13" fillId="0" borderId="0" xfId="6" applyNumberFormat="1" applyFont="1" applyAlignment="1" applyProtection="1">
      <alignment vertical="center"/>
      <protection hidden="1"/>
    </xf>
    <xf numFmtId="196" fontId="9" fillId="0" borderId="0" xfId="6" applyNumberFormat="1" applyAlignment="1" applyProtection="1">
      <alignment horizontal="right" vertical="center"/>
      <protection hidden="1"/>
    </xf>
    <xf numFmtId="10" fontId="0" fillId="0" borderId="0" xfId="1" applyNumberFormat="1" applyFont="1" applyFill="1"/>
    <xf numFmtId="10" fontId="9" fillId="0" borderId="0" xfId="6" applyNumberFormat="1" applyAlignment="1" applyProtection="1">
      <alignment vertical="center"/>
      <protection hidden="1"/>
    </xf>
    <xf numFmtId="197" fontId="0" fillId="0" borderId="0" xfId="2" applyNumberFormat="1" applyFont="1" applyAlignment="1" applyProtection="1">
      <alignment vertical="center"/>
      <protection hidden="1"/>
    </xf>
    <xf numFmtId="44" fontId="0" fillId="0" borderId="0" xfId="2" applyFont="1" applyAlignment="1" applyProtection="1">
      <alignment vertical="center"/>
      <protection hidden="1"/>
    </xf>
    <xf numFmtId="0" fontId="10" fillId="12" borderId="0" xfId="0" applyFont="1" applyFill="1" applyAlignment="1">
      <alignment vertical="center"/>
    </xf>
    <xf numFmtId="0" fontId="9" fillId="11" borderId="18" xfId="0" applyFont="1" applyFill="1" applyBorder="1" applyAlignment="1">
      <alignment horizontal="center" vertical="center"/>
    </xf>
    <xf numFmtId="0" fontId="13" fillId="0" borderId="12" xfId="0" applyFont="1" applyBorder="1" applyAlignment="1" applyProtection="1">
      <alignment vertical="center"/>
      <protection hidden="1"/>
    </xf>
    <xf numFmtId="0" fontId="12" fillId="0" borderId="9" xfId="0" applyFont="1" applyBorder="1" applyAlignment="1">
      <alignment vertical="center"/>
    </xf>
    <xf numFmtId="3" fontId="9" fillId="11" borderId="30" xfId="0" applyNumberFormat="1" applyFont="1" applyFill="1" applyBorder="1" applyAlignment="1" applyProtection="1">
      <alignment vertical="center"/>
      <protection locked="0"/>
    </xf>
    <xf numFmtId="9" fontId="10" fillId="0" borderId="0" xfId="48" applyNumberFormat="1" applyFont="1" applyFill="1" applyBorder="1" applyAlignment="1" applyProtection="1">
      <alignment horizontal="right" vertical="center"/>
      <protection locked="0"/>
    </xf>
    <xf numFmtId="10" fontId="9" fillId="0" borderId="54" xfId="15" applyNumberFormat="1" applyFont="1" applyFill="1" applyBorder="1" applyAlignment="1" applyProtection="1">
      <alignment vertical="center"/>
      <protection locked="0"/>
    </xf>
    <xf numFmtId="10" fontId="0" fillId="0" borderId="12" xfId="1" applyNumberFormat="1" applyFont="1" applyFill="1" applyBorder="1" applyAlignment="1">
      <alignment vertical="center"/>
    </xf>
    <xf numFmtId="0" fontId="9" fillId="13" borderId="9" xfId="6" applyFill="1" applyBorder="1" applyAlignment="1" applyProtection="1">
      <alignment horizontal="center" vertical="center"/>
      <protection hidden="1"/>
    </xf>
    <xf numFmtId="0" fontId="9" fillId="13" borderId="12" xfId="6" applyFill="1" applyBorder="1" applyAlignment="1" applyProtection="1">
      <alignment vertical="center"/>
      <protection hidden="1"/>
    </xf>
    <xf numFmtId="0" fontId="13" fillId="13" borderId="18" xfId="6" applyFont="1" applyFill="1" applyBorder="1" applyAlignment="1" applyProtection="1">
      <alignment horizontal="left" vertical="center" wrapText="1"/>
      <protection hidden="1"/>
    </xf>
    <xf numFmtId="172" fontId="9" fillId="13" borderId="9" xfId="1" applyNumberFormat="1" applyFont="1" applyFill="1" applyBorder="1" applyAlignment="1" applyProtection="1">
      <alignment vertical="center"/>
      <protection hidden="1"/>
    </xf>
    <xf numFmtId="9" fontId="0" fillId="0" borderId="9" xfId="1" applyFont="1" applyFill="1" applyBorder="1" applyAlignment="1">
      <alignment vertical="center"/>
    </xf>
    <xf numFmtId="9" fontId="0" fillId="0" borderId="52" xfId="1" applyFont="1" applyFill="1" applyBorder="1" applyAlignment="1">
      <alignment vertical="center"/>
    </xf>
    <xf numFmtId="9" fontId="9" fillId="0" borderId="9" xfId="1" applyFont="1" applyFill="1" applyBorder="1" applyAlignment="1">
      <alignment vertical="center"/>
    </xf>
    <xf numFmtId="9" fontId="9" fillId="0" borderId="12" xfId="1" applyFont="1" applyFill="1" applyBorder="1" applyAlignment="1">
      <alignment vertical="center"/>
    </xf>
    <xf numFmtId="9" fontId="9" fillId="0" borderId="52" xfId="1" applyFont="1" applyFill="1" applyBorder="1" applyAlignment="1" applyProtection="1">
      <alignment vertical="center"/>
      <protection hidden="1"/>
    </xf>
    <xf numFmtId="9" fontId="0" fillId="0" borderId="12" xfId="1" applyFont="1" applyFill="1" applyBorder="1" applyAlignment="1">
      <alignment vertical="center"/>
    </xf>
    <xf numFmtId="9" fontId="9" fillId="0" borderId="52" xfId="1" applyFont="1" applyFill="1" applyBorder="1" applyAlignment="1">
      <alignment vertical="center"/>
    </xf>
    <xf numFmtId="9" fontId="0" fillId="0" borderId="53" xfId="1" applyFont="1" applyFill="1" applyBorder="1" applyAlignment="1">
      <alignment vertical="center"/>
    </xf>
    <xf numFmtId="199" fontId="9" fillId="7" borderId="0" xfId="6" applyNumberFormat="1" applyFill="1" applyAlignment="1" applyProtection="1">
      <alignment vertical="center"/>
      <protection hidden="1"/>
    </xf>
    <xf numFmtId="0" fontId="13" fillId="0" borderId="12" xfId="0" applyFont="1" applyBorder="1" applyAlignment="1">
      <alignment horizontal="left" vertical="center"/>
    </xf>
    <xf numFmtId="10" fontId="9" fillId="0" borderId="18" xfId="6" applyNumberFormat="1" applyBorder="1" applyAlignment="1" applyProtection="1">
      <alignment vertical="center"/>
      <protection hidden="1"/>
    </xf>
    <xf numFmtId="10" fontId="9" fillId="0" borderId="55" xfId="15" applyNumberFormat="1" applyFont="1" applyFill="1" applyBorder="1" applyAlignment="1" applyProtection="1">
      <alignment vertical="center"/>
      <protection locked="0"/>
    </xf>
    <xf numFmtId="10" fontId="0" fillId="0" borderId="56" xfId="1" applyNumberFormat="1" applyFont="1" applyFill="1" applyBorder="1" applyAlignment="1">
      <alignment vertical="center"/>
    </xf>
    <xf numFmtId="9" fontId="9" fillId="0" borderId="56" xfId="1" applyFont="1" applyFill="1" applyBorder="1" applyAlignment="1">
      <alignment vertical="center"/>
    </xf>
    <xf numFmtId="9" fontId="0" fillId="0" borderId="56" xfId="1" applyFont="1" applyFill="1" applyBorder="1" applyAlignment="1">
      <alignment vertical="center"/>
    </xf>
    <xf numFmtId="9" fontId="0" fillId="0" borderId="58" xfId="1" applyFont="1" applyFill="1" applyBorder="1" applyAlignment="1">
      <alignment vertical="center"/>
    </xf>
    <xf numFmtId="9" fontId="0" fillId="0" borderId="59" xfId="1" applyFont="1" applyFill="1" applyBorder="1" applyAlignment="1">
      <alignment vertical="center"/>
    </xf>
    <xf numFmtId="0" fontId="13" fillId="0" borderId="0" xfId="0" applyFont="1" applyAlignment="1" applyProtection="1">
      <alignment horizontal="left" vertical="top"/>
      <protection hidden="1"/>
    </xf>
    <xf numFmtId="0" fontId="49" fillId="14" borderId="0" xfId="0" applyFont="1" applyFill="1"/>
    <xf numFmtId="44" fontId="49" fillId="14" borderId="0" xfId="0" applyNumberFormat="1" applyFont="1" applyFill="1"/>
    <xf numFmtId="166" fontId="13" fillId="0" borderId="0" xfId="0" applyNumberFormat="1" applyFont="1"/>
    <xf numFmtId="10" fontId="0" fillId="0" borderId="0" xfId="0" applyNumberFormat="1"/>
    <xf numFmtId="166" fontId="49" fillId="14" borderId="0" xfId="0" applyNumberFormat="1" applyFont="1" applyFill="1"/>
    <xf numFmtId="49" fontId="15" fillId="0" borderId="0" xfId="0" applyNumberFormat="1" applyFont="1" applyAlignment="1" applyProtection="1">
      <alignment vertical="center" wrapText="1"/>
      <protection hidden="1"/>
    </xf>
    <xf numFmtId="0" fontId="13" fillId="0" borderId="0" xfId="0" applyFont="1" applyAlignment="1">
      <alignment horizontal="left" vertical="center"/>
    </xf>
    <xf numFmtId="0" fontId="15" fillId="0" borderId="0" xfId="0" applyFont="1" applyAlignment="1">
      <alignment horizontal="left" vertical="center"/>
    </xf>
    <xf numFmtId="0" fontId="13" fillId="0" borderId="0" xfId="0" applyFont="1" applyAlignment="1">
      <alignment vertical="center"/>
    </xf>
    <xf numFmtId="10" fontId="13" fillId="0" borderId="0" xfId="0" applyNumberFormat="1" applyFont="1" applyAlignment="1">
      <alignment horizontal="left" vertical="center"/>
    </xf>
    <xf numFmtId="0" fontId="49" fillId="14" borderId="12" xfId="0" applyFont="1" applyFill="1" applyBorder="1" applyAlignment="1">
      <alignment horizontal="center" vertical="center"/>
    </xf>
    <xf numFmtId="0" fontId="49" fillId="14" borderId="12" xfId="0" applyFont="1" applyFill="1" applyBorder="1" applyAlignment="1">
      <alignment horizontal="left" vertical="center"/>
    </xf>
    <xf numFmtId="0" fontId="49" fillId="14" borderId="18" xfId="0" applyFont="1" applyFill="1" applyBorder="1" applyAlignment="1" applyProtection="1">
      <alignment horizontal="left" vertical="center" wrapText="1"/>
      <protection hidden="1"/>
    </xf>
    <xf numFmtId="4" fontId="49" fillId="14" borderId="9" xfId="0" applyNumberFormat="1" applyFont="1" applyFill="1" applyBorder="1" applyAlignment="1" applyProtection="1">
      <alignment horizontal="center" vertical="center"/>
      <protection hidden="1"/>
    </xf>
    <xf numFmtId="2" fontId="49" fillId="14" borderId="12" xfId="0" applyNumberFormat="1" applyFont="1" applyFill="1" applyBorder="1" applyAlignment="1" applyProtection="1">
      <alignment horizontal="right" vertical="center" indent="1"/>
      <protection hidden="1"/>
    </xf>
    <xf numFmtId="183" fontId="49" fillId="14" borderId="9" xfId="2" applyNumberFormat="1" applyFont="1" applyFill="1" applyBorder="1" applyAlignment="1" applyProtection="1">
      <alignment vertical="center"/>
      <protection hidden="1"/>
    </xf>
    <xf numFmtId="172" fontId="49" fillId="14" borderId="9" xfId="1" applyNumberFormat="1" applyFont="1" applyFill="1" applyBorder="1" applyAlignment="1" applyProtection="1">
      <alignment vertical="center"/>
      <protection hidden="1"/>
    </xf>
    <xf numFmtId="0" fontId="9" fillId="15" borderId="12" xfId="0" applyFont="1" applyFill="1" applyBorder="1" applyAlignment="1">
      <alignment horizontal="center" vertical="center"/>
    </xf>
    <xf numFmtId="0" fontId="9" fillId="15" borderId="12" xfId="0" applyFont="1" applyFill="1" applyBorder="1" applyAlignment="1">
      <alignment horizontal="left" vertical="center"/>
    </xf>
    <xf numFmtId="0" fontId="9" fillId="15" borderId="18" xfId="0" applyFont="1" applyFill="1" applyBorder="1" applyAlignment="1" applyProtection="1">
      <alignment horizontal="left" vertical="center" wrapText="1"/>
      <protection hidden="1"/>
    </xf>
    <xf numFmtId="4" fontId="9" fillId="15" borderId="9" xfId="0" applyNumberFormat="1" applyFont="1" applyFill="1" applyBorder="1" applyAlignment="1" applyProtection="1">
      <alignment horizontal="center" vertical="center"/>
      <protection hidden="1"/>
    </xf>
    <xf numFmtId="2" fontId="9" fillId="15" borderId="12" xfId="0" applyNumberFormat="1" applyFont="1" applyFill="1" applyBorder="1" applyAlignment="1" applyProtection="1">
      <alignment horizontal="right" vertical="center" indent="1"/>
      <protection hidden="1"/>
    </xf>
    <xf numFmtId="183" fontId="9" fillId="15" borderId="9" xfId="2" applyNumberFormat="1" applyFont="1" applyFill="1" applyBorder="1" applyAlignment="1" applyProtection="1">
      <alignment vertical="center"/>
      <protection hidden="1"/>
    </xf>
    <xf numFmtId="172" fontId="9" fillId="15" borderId="9" xfId="1" applyNumberFormat="1" applyFont="1" applyFill="1" applyBorder="1" applyAlignment="1" applyProtection="1">
      <alignment vertical="center"/>
      <protection hidden="1"/>
    </xf>
    <xf numFmtId="0" fontId="0" fillId="15" borderId="12" xfId="0" applyFill="1" applyBorder="1" applyAlignment="1" applyProtection="1">
      <alignment vertical="center"/>
      <protection hidden="1"/>
    </xf>
    <xf numFmtId="0" fontId="13" fillId="15" borderId="15" xfId="0" applyFont="1" applyFill="1" applyBorder="1" applyAlignment="1" applyProtection="1">
      <alignment vertical="center"/>
      <protection hidden="1"/>
    </xf>
    <xf numFmtId="44" fontId="13" fillId="15" borderId="15" xfId="0" applyNumberFormat="1" applyFont="1" applyFill="1" applyBorder="1" applyAlignment="1" applyProtection="1">
      <alignment vertical="center"/>
      <protection hidden="1"/>
    </xf>
    <xf numFmtId="0" fontId="0" fillId="15" borderId="18" xfId="0" applyFill="1" applyBorder="1" applyAlignment="1" applyProtection="1">
      <alignment vertical="center"/>
      <protection hidden="1"/>
    </xf>
    <xf numFmtId="44" fontId="13" fillId="15" borderId="9" xfId="0" applyNumberFormat="1" applyFont="1" applyFill="1" applyBorder="1" applyAlignment="1" applyProtection="1">
      <alignment vertical="center"/>
      <protection hidden="1"/>
    </xf>
    <xf numFmtId="198" fontId="16" fillId="15" borderId="9" xfId="1" applyNumberFormat="1" applyFont="1" applyFill="1" applyBorder="1" applyAlignment="1" applyProtection="1">
      <alignment vertical="center"/>
      <protection hidden="1"/>
    </xf>
    <xf numFmtId="0" fontId="13" fillId="0" borderId="12"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2" xfId="0" applyFont="1" applyBorder="1" applyAlignment="1" applyProtection="1">
      <alignment horizontal="center" vertical="center" wrapText="1"/>
      <protection hidden="1"/>
    </xf>
    <xf numFmtId="44" fontId="13" fillId="0" borderId="0" xfId="0" applyNumberFormat="1" applyFont="1"/>
    <xf numFmtId="44" fontId="0" fillId="0" borderId="0" xfId="0" applyNumberFormat="1"/>
    <xf numFmtId="189" fontId="0" fillId="0" borderId="0" xfId="0" applyNumberFormat="1" applyAlignment="1" applyProtection="1">
      <alignment vertical="center"/>
      <protection hidden="1"/>
    </xf>
    <xf numFmtId="201" fontId="13" fillId="0" borderId="0" xfId="6" applyNumberFormat="1" applyFont="1" applyAlignment="1" applyProtection="1">
      <alignment horizontal="left" vertical="center"/>
      <protection hidden="1"/>
    </xf>
    <xf numFmtId="44" fontId="42" fillId="0" borderId="0" xfId="0" applyNumberFormat="1" applyFont="1" applyAlignment="1" applyProtection="1">
      <alignment vertical="center"/>
      <protection hidden="1"/>
    </xf>
    <xf numFmtId="49" fontId="13" fillId="0" borderId="0" xfId="0" applyNumberFormat="1" applyFont="1"/>
    <xf numFmtId="0" fontId="13" fillId="0" borderId="0" xfId="0" applyFont="1" applyAlignment="1">
      <alignment horizontal="right"/>
    </xf>
    <xf numFmtId="4" fontId="13" fillId="0" borderId="0" xfId="0" applyNumberFormat="1" applyFont="1"/>
    <xf numFmtId="4" fontId="15" fillId="0" borderId="0" xfId="0" applyNumberFormat="1" applyFont="1" applyAlignment="1" applyProtection="1">
      <alignment vertical="center" wrapText="1"/>
      <protection hidden="1"/>
    </xf>
    <xf numFmtId="0" fontId="9" fillId="0" borderId="9" xfId="6" applyBorder="1" applyAlignment="1" applyProtection="1">
      <alignment vertical="center"/>
      <protection hidden="1"/>
    </xf>
    <xf numFmtId="9" fontId="0" fillId="0" borderId="57" xfId="1" applyFont="1" applyFill="1" applyBorder="1" applyAlignment="1">
      <alignment vertical="center"/>
    </xf>
    <xf numFmtId="0" fontId="0" fillId="0" borderId="13" xfId="0" applyBorder="1" applyAlignment="1">
      <alignment vertical="center" wrapText="1"/>
    </xf>
    <xf numFmtId="0" fontId="13" fillId="0" borderId="0" xfId="0" applyFont="1" applyAlignment="1">
      <alignment horizontal="center" vertical="center"/>
    </xf>
    <xf numFmtId="0" fontId="13" fillId="0" borderId="9"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9" xfId="0" applyFont="1" applyBorder="1" applyAlignment="1">
      <alignment horizontal="center" vertical="center"/>
    </xf>
    <xf numFmtId="0" fontId="13" fillId="0" borderId="30" xfId="0" applyFont="1" applyBorder="1" applyAlignment="1">
      <alignment horizontal="center" vertical="center"/>
    </xf>
    <xf numFmtId="49" fontId="15" fillId="0" borderId="0" xfId="0" applyNumberFormat="1" applyFont="1" applyAlignment="1" applyProtection="1">
      <alignment horizontal="left" vertical="center" wrapText="1"/>
      <protection hidden="1"/>
    </xf>
    <xf numFmtId="0" fontId="50" fillId="14" borderId="12" xfId="0" applyFont="1" applyFill="1" applyBorder="1" applyAlignment="1" applyProtection="1">
      <alignment horizontal="center" vertical="center"/>
      <protection hidden="1"/>
    </xf>
    <xf numFmtId="0" fontId="50" fillId="14" borderId="15" xfId="0" applyFont="1" applyFill="1" applyBorder="1" applyAlignment="1" applyProtection="1">
      <alignment horizontal="center" vertical="center"/>
      <protection hidden="1"/>
    </xf>
    <xf numFmtId="0" fontId="50" fillId="14" borderId="18" xfId="0" applyFont="1" applyFill="1" applyBorder="1" applyAlignment="1" applyProtection="1">
      <alignment horizontal="center" vertical="center"/>
      <protection hidden="1"/>
    </xf>
    <xf numFmtId="0" fontId="43" fillId="0" borderId="0" xfId="0" applyFont="1" applyAlignment="1" applyProtection="1">
      <alignment horizontal="center" vertical="center"/>
      <protection hidden="1"/>
    </xf>
    <xf numFmtId="0" fontId="13" fillId="0" borderId="9" xfId="0" applyFont="1" applyBorder="1" applyAlignment="1" applyProtection="1">
      <alignment horizontal="center" vertical="center"/>
      <protection hidden="1"/>
    </xf>
    <xf numFmtId="201" fontId="13" fillId="0" borderId="0" xfId="6" applyNumberFormat="1" applyFont="1" applyAlignment="1" applyProtection="1">
      <alignment horizontal="left" vertical="center"/>
      <protection hidden="1"/>
    </xf>
    <xf numFmtId="200" fontId="13" fillId="0" borderId="0" xfId="6" applyNumberFormat="1" applyFont="1" applyAlignment="1" applyProtection="1">
      <alignment horizontal="left" vertical="center"/>
      <protection hidden="1"/>
    </xf>
    <xf numFmtId="0" fontId="13" fillId="0" borderId="12"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190" fontId="13" fillId="0" borderId="9" xfId="6" applyNumberFormat="1" applyFont="1" applyBorder="1" applyAlignment="1" applyProtection="1">
      <alignment horizontal="center" vertical="center" wrapText="1"/>
      <protection hidden="1"/>
    </xf>
    <xf numFmtId="0" fontId="13" fillId="0" borderId="9" xfId="0" applyFont="1" applyBorder="1" applyAlignment="1" applyProtection="1">
      <alignment horizontal="center" vertical="center" wrapText="1"/>
      <protection hidden="1"/>
    </xf>
    <xf numFmtId="0" fontId="13" fillId="0" borderId="9" xfId="6" applyFont="1" applyBorder="1" applyAlignment="1" applyProtection="1">
      <alignment horizontal="center" vertical="center"/>
      <protection hidden="1"/>
    </xf>
    <xf numFmtId="0" fontId="13" fillId="0" borderId="9" xfId="6" applyFont="1" applyBorder="1" applyAlignment="1" applyProtection="1">
      <alignment horizontal="center" vertical="center" wrapText="1"/>
      <protection hidden="1"/>
    </xf>
    <xf numFmtId="0" fontId="13" fillId="0" borderId="12" xfId="6" applyFont="1" applyBorder="1" applyAlignment="1" applyProtection="1">
      <alignment horizontal="center" vertical="center"/>
      <protection hidden="1"/>
    </xf>
    <xf numFmtId="0" fontId="13" fillId="0" borderId="15" xfId="6" applyFont="1" applyBorder="1" applyAlignment="1" applyProtection="1">
      <alignment horizontal="center" vertical="center"/>
      <protection hidden="1"/>
    </xf>
    <xf numFmtId="182" fontId="10" fillId="0" borderId="36" xfId="0" applyNumberFormat="1" applyFont="1" applyBorder="1" applyAlignment="1">
      <alignment horizontal="center" vertical="center"/>
    </xf>
    <xf numFmtId="182" fontId="10" fillId="0" borderId="33" xfId="0" applyNumberFormat="1" applyFont="1" applyBorder="1" applyAlignment="1">
      <alignment horizontal="center" vertical="center"/>
    </xf>
    <xf numFmtId="0" fontId="10" fillId="0" borderId="25"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35" xfId="0" applyFont="1" applyBorder="1" applyAlignment="1">
      <alignment horizontal="center" vertical="center"/>
    </xf>
    <xf numFmtId="0" fontId="10" fillId="0" borderId="30" xfId="0" applyFont="1" applyBorder="1" applyAlignment="1">
      <alignment horizontal="center" vertical="center"/>
    </xf>
    <xf numFmtId="2" fontId="10" fillId="0" borderId="35" xfId="0" applyNumberFormat="1" applyFont="1" applyBorder="1" applyAlignment="1">
      <alignment horizontal="center" vertical="center"/>
    </xf>
    <xf numFmtId="2" fontId="10" fillId="0" borderId="30" xfId="0" applyNumberFormat="1" applyFont="1" applyBorder="1" applyAlignment="1">
      <alignment horizontal="center" vertical="center"/>
    </xf>
    <xf numFmtId="182" fontId="10" fillId="0" borderId="35" xfId="0" applyNumberFormat="1" applyFont="1" applyBorder="1" applyAlignment="1">
      <alignment horizontal="center" vertical="center"/>
    </xf>
    <xf numFmtId="182" fontId="10" fillId="0" borderId="30" xfId="0" applyNumberFormat="1" applyFont="1" applyBorder="1" applyAlignment="1">
      <alignment horizontal="center" vertical="center"/>
    </xf>
    <xf numFmtId="0" fontId="10" fillId="2" borderId="0" xfId="6" applyFont="1" applyFill="1" applyAlignment="1">
      <alignment horizontal="center" vertical="center" wrapText="1"/>
    </xf>
    <xf numFmtId="0" fontId="10" fillId="0" borderId="0" xfId="6" applyFont="1" applyAlignment="1">
      <alignment horizontal="center" vertical="center" wrapText="1"/>
    </xf>
    <xf numFmtId="0" fontId="13" fillId="0" borderId="12" xfId="0" applyFont="1" applyBorder="1" applyAlignment="1" applyProtection="1">
      <alignment horizontal="right" vertical="center" indent="2"/>
      <protection hidden="1"/>
    </xf>
    <xf numFmtId="0" fontId="13" fillId="0" borderId="18" xfId="0" applyFont="1" applyBorder="1" applyAlignment="1" applyProtection="1">
      <alignment horizontal="right" vertical="center" indent="2"/>
      <protection hidden="1"/>
    </xf>
    <xf numFmtId="0" fontId="13" fillId="0" borderId="12" xfId="0" applyFont="1" applyBorder="1" applyAlignment="1" applyProtection="1">
      <alignment horizontal="left" vertical="center"/>
      <protection hidden="1"/>
    </xf>
    <xf numFmtId="0" fontId="13" fillId="0" borderId="18" xfId="0" applyFont="1" applyBorder="1" applyAlignment="1" applyProtection="1">
      <alignment horizontal="left" vertical="center"/>
      <protection hidden="1"/>
    </xf>
    <xf numFmtId="0" fontId="13" fillId="0" borderId="31" xfId="0" applyFont="1" applyBorder="1" applyAlignment="1" applyProtection="1">
      <alignment horizontal="center" vertical="center"/>
      <protection hidden="1"/>
    </xf>
    <xf numFmtId="0" fontId="13" fillId="0" borderId="28" xfId="0" applyFont="1" applyBorder="1" applyAlignment="1" applyProtection="1">
      <alignment horizontal="center" vertical="center"/>
      <protection hidden="1"/>
    </xf>
    <xf numFmtId="0" fontId="13" fillId="0" borderId="29" xfId="0" applyFont="1" applyBorder="1" applyAlignment="1" applyProtection="1">
      <alignment horizontal="center" vertical="center"/>
      <protection hidden="1"/>
    </xf>
    <xf numFmtId="0" fontId="9" fillId="0" borderId="14" xfId="0" applyFont="1" applyBorder="1" applyAlignment="1" applyProtection="1">
      <alignment horizontal="center" vertical="center"/>
      <protection hidden="1"/>
    </xf>
    <xf numFmtId="0" fontId="9" fillId="0" borderId="27" xfId="0" applyFont="1" applyBorder="1" applyAlignment="1" applyProtection="1">
      <alignment horizontal="center" vertical="center"/>
      <protection hidden="1"/>
    </xf>
    <xf numFmtId="0" fontId="9" fillId="0" borderId="16" xfId="0" applyFont="1" applyBorder="1" applyAlignment="1" applyProtection="1">
      <alignment horizontal="center" vertical="center"/>
      <protection hidden="1"/>
    </xf>
  </cellXfs>
  <cellStyles count="108">
    <cellStyle name="Cabecera 1" xfId="29"/>
    <cellStyle name="Cabecera 2" xfId="30"/>
    <cellStyle name="Dia" xfId="7"/>
    <cellStyle name="Encabez1" xfId="8"/>
    <cellStyle name="Encabez2" xfId="9"/>
    <cellStyle name="Encabezado 1" xfId="31"/>
    <cellStyle name="Encabezado 2" xfId="32"/>
    <cellStyle name="Euro" xfId="10"/>
    <cellStyle name="Euro 2" xfId="33"/>
    <cellStyle name="F2" xfId="34"/>
    <cellStyle name="F3" xfId="35"/>
    <cellStyle name="F4" xfId="36"/>
    <cellStyle name="F5" xfId="37"/>
    <cellStyle name="F6" xfId="38"/>
    <cellStyle name="F7" xfId="39"/>
    <cellStyle name="F8" xfId="40"/>
    <cellStyle name="Fecha" xfId="41"/>
    <cellStyle name="Fijo" xfId="11"/>
    <cellStyle name="Fijo 2" xfId="42"/>
    <cellStyle name="Financiero" xfId="12"/>
    <cellStyle name="Millares 2" xfId="20"/>
    <cellStyle name="Millares 2 2" xfId="21"/>
    <cellStyle name="Millares 2 2 2" xfId="43"/>
    <cellStyle name="Millares 2 3" xfId="44"/>
    <cellStyle name="Millares 2 4" xfId="45"/>
    <cellStyle name="Millares 3" xfId="22"/>
    <cellStyle name="Millares 3 2" xfId="46"/>
    <cellStyle name="Millares 3 2 2" xfId="92"/>
    <cellStyle name="Millares 3 3" xfId="86"/>
    <cellStyle name="Millares 4" xfId="23"/>
    <cellStyle name="Millares 4 2" xfId="87"/>
    <cellStyle name="Millares 5" xfId="24"/>
    <cellStyle name="Millares 5 2" xfId="88"/>
    <cellStyle name="Millares 6" xfId="28"/>
    <cellStyle name="Moneda" xfId="2" builtinId="4"/>
    <cellStyle name="Moneda 2" xfId="27"/>
    <cellStyle name="Moneda 2 2" xfId="47"/>
    <cellStyle name="Moneda 2 3" xfId="91"/>
    <cellStyle name="Moneda 3" xfId="48"/>
    <cellStyle name="Moneda 3 2" xfId="49"/>
    <cellStyle name="Moneda 3 2 2" xfId="93"/>
    <cellStyle name="Moneda 4" xfId="50"/>
    <cellStyle name="Moneda 5" xfId="51"/>
    <cellStyle name="Moneda 6" xfId="52"/>
    <cellStyle name="Moneda 6 2" xfId="94"/>
    <cellStyle name="Moneda0" xfId="53"/>
    <cellStyle name="Moneda0 2" xfId="95"/>
    <cellStyle name="Monetario" xfId="13"/>
    <cellStyle name="Monetario 2" xfId="54"/>
    <cellStyle name="Monetario0" xfId="55"/>
    <cellStyle name="No-definido" xfId="14"/>
    <cellStyle name="Normal" xfId="0" builtinId="0"/>
    <cellStyle name="Normal 2" xfId="3"/>
    <cellStyle name="Normal 2 2" xfId="19"/>
    <cellStyle name="Normal 2 2 2" xfId="18"/>
    <cellStyle name="Normal 2 2 2 2" xfId="85"/>
    <cellStyle name="Normal 2 3" xfId="56"/>
    <cellStyle name="Normal 2 4" xfId="57"/>
    <cellStyle name="Normal 2 4 2" xfId="96"/>
    <cellStyle name="Normal 2 5" xfId="82"/>
    <cellStyle name="Normal 3" xfId="6"/>
    <cellStyle name="Normal 3 2" xfId="58"/>
    <cellStyle name="Normal 3 2 2" xfId="97"/>
    <cellStyle name="Normal 3 3" xfId="59"/>
    <cellStyle name="Normal 3 4" xfId="60"/>
    <cellStyle name="Normal 3 5" xfId="61"/>
    <cellStyle name="Normal 4" xfId="25"/>
    <cellStyle name="Normal 4 2" xfId="62"/>
    <cellStyle name="Normal 4 3" xfId="63"/>
    <cellStyle name="Normal 4 4" xfId="89"/>
    <cellStyle name="Normal 5" xfId="64"/>
    <cellStyle name="Normal 5 2" xfId="65"/>
    <cellStyle name="Normal 6" xfId="26"/>
    <cellStyle name="Normal 6 2" xfId="66"/>
    <cellStyle name="Normal 6 2 2" xfId="98"/>
    <cellStyle name="Normal 6 3" xfId="90"/>
    <cellStyle name="Normal 7" xfId="67"/>
    <cellStyle name="Normal 7 2" xfId="99"/>
    <cellStyle name="Normal 8" xfId="68"/>
    <cellStyle name="Normal 9" xfId="69"/>
    <cellStyle name="Normal 9 2" xfId="100"/>
    <cellStyle name="Normal_Analisis de precios AGOSTO 2004" xfId="5"/>
    <cellStyle name="Normal_LICITACION ESCUELA CAUCETE" xfId="107"/>
    <cellStyle name="Porcentaje" xfId="1" builtinId="5"/>
    <cellStyle name="Porcentaje 2" xfId="4"/>
    <cellStyle name="Porcentaje 2 2" xfId="70"/>
    <cellStyle name="Porcentaje 2 3" xfId="83"/>
    <cellStyle name="Porcentaje 3" xfId="15"/>
    <cellStyle name="Porcentaje 3 2" xfId="71"/>
    <cellStyle name="Porcentaje 3 2 2" xfId="101"/>
    <cellStyle name="Porcentaje 3 3" xfId="84"/>
    <cellStyle name="Porcentaje 4" xfId="72"/>
    <cellStyle name="Porcentaje 4 2" xfId="73"/>
    <cellStyle name="Porcentaje 4 3" xfId="74"/>
    <cellStyle name="Porcentaje 4 3 2" xfId="103"/>
    <cellStyle name="Porcentaje 4 4" xfId="102"/>
    <cellStyle name="Porcentaje 5" xfId="75"/>
    <cellStyle name="Porcentaje 5 2" xfId="76"/>
    <cellStyle name="Porcentaje 5 2 2" xfId="105"/>
    <cellStyle name="Porcentaje 5 3" xfId="104"/>
    <cellStyle name="Porcentaje 6" xfId="80"/>
    <cellStyle name="Porcentaje 6 2" xfId="106"/>
    <cellStyle name="Porcentaje 7" xfId="81"/>
    <cellStyle name="Punto" xfId="16"/>
    <cellStyle name="Punto 2" xfId="77"/>
    <cellStyle name="Punto0" xfId="17"/>
    <cellStyle name="Punto0 2" xfId="78"/>
    <cellStyle name="Total 2" xfId="79"/>
  </cellStyles>
  <dxfs count="16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ill>
        <patternFill>
          <bgColor theme="8" tint="0.79998168889431442"/>
        </patternFill>
      </fill>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condense val="0"/>
        <extend val="0"/>
        <color indexed="9"/>
      </font>
      <border>
        <left/>
        <right/>
        <top/>
        <bottom/>
      </border>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microsoft.com/office/2006/relationships/vbaProject" Target="vbaProject.bin"/></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74852654206934E-2"/>
          <c:y val="0.15364855576536229"/>
          <c:w val="0.9098039321941751"/>
          <c:h val="0.78446936087731445"/>
        </c:manualLayout>
      </c:layout>
      <c:lineChart>
        <c:grouping val="standard"/>
        <c:varyColors val="0"/>
        <c:ser>
          <c:idx val="0"/>
          <c:order val="0"/>
          <c:tx>
            <c:strRef>
              <c:f>PTyCI!$D$161</c:f>
              <c:strCache>
                <c:ptCount val="1"/>
                <c:pt idx="0">
                  <c:v>Avance Mensual</c:v>
                </c:pt>
              </c:strCache>
            </c:strRef>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PTyCI!$E$15:$W$15</c:f>
              <c:numCache>
                <c:formatCode>"Mes "#,#00\ </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PTyCI!$E$161:$W$161</c:f>
              <c:numCache>
                <c:formatCode>0.00%</c:formatCode>
                <c:ptCount val="19"/>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B0B8-44AD-83A6-17F4475A3F59}"/>
            </c:ext>
          </c:extLst>
        </c:ser>
        <c:ser>
          <c:idx val="1"/>
          <c:order val="1"/>
          <c:tx>
            <c:strRef>
              <c:f>PTyCI!$D$162</c:f>
              <c:strCache>
                <c:ptCount val="1"/>
                <c:pt idx="0">
                  <c:v>Avance Acumulado</c:v>
                </c:pt>
              </c:strCache>
            </c:strRef>
          </c:tx>
          <c:marker>
            <c:symbol val="none"/>
          </c:marker>
          <c:dLbls>
            <c:dLbl>
              <c:idx val="0"/>
              <c:layout>
                <c:manualLayout>
                  <c:x val="-4.7385297032592096E-3"/>
                  <c:y val="2.5327499189320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A3-4BFF-BAA6-175F3534FA8B}"/>
                </c:ext>
              </c:extLst>
            </c:dLbl>
            <c:dLbl>
              <c:idx val="1"/>
              <c:layout>
                <c:manualLayout>
                  <c:x val="3.3201898404003546E-2"/>
                  <c:y val="-4.1686129667666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5.8445752369379687E-3"/>
                  <c:y val="-3.45774010471790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1.2034206670070173E-2"/>
                  <c:y val="-3.222575882311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2.7598639407722936E-2"/>
                  <c:y val="-2.3632944394955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3.0805546256551439E-2"/>
                  <c:y val="-1.35875962594537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6"/>
              <c:layout>
                <c:manualLayout>
                  <c:x val="-4.1488068593860762E-2"/>
                  <c:y val="7.9634671766627314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A3-4BFF-BAA6-175F3534FA8B}"/>
                </c:ext>
              </c:extLst>
            </c:dLbl>
            <c:dLbl>
              <c:idx val="7"/>
              <c:layout>
                <c:manualLayout>
                  <c:x val="-5.3541865726784946E-2"/>
                  <c:y val="1.0688309477041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A3-4BFF-BAA6-175F3534FA8B}"/>
                </c:ext>
              </c:extLst>
            </c:dLbl>
            <c:dLbl>
              <c:idx val="8"/>
              <c:layout>
                <c:manualLayout>
                  <c:x val="-4.7618675416796784E-2"/>
                  <c:y val="3.69549427862474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A3-4BFF-BAA6-175F3534FA8B}"/>
                </c:ext>
              </c:extLst>
            </c:dLbl>
            <c:dLbl>
              <c:idx val="9"/>
              <c:layout>
                <c:manualLayout>
                  <c:x val="-4.1462134903518397E-2"/>
                  <c:y val="-5.06549983786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A3-4BFF-BAA6-175F3534FA8B}"/>
                </c:ext>
              </c:extLst>
            </c:dLbl>
            <c:dLbl>
              <c:idx val="10"/>
              <c:layout>
                <c:manualLayout>
                  <c:x val="-4.2324311731767747E-2"/>
                  <c:y val="-9.66976531857140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A3-4BFF-BAA6-175F3534FA8B}"/>
                </c:ext>
              </c:extLst>
            </c:dLbl>
            <c:dLbl>
              <c:idx val="11"/>
              <c:layout>
                <c:manualLayout>
                  <c:x val="-4.3330319947596826E-2"/>
                  <c:y val="-2.08344906116708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A3-4BFF-BAA6-175F3534FA8B}"/>
                </c:ext>
              </c:extLst>
            </c:dLbl>
            <c:dLbl>
              <c:idx val="12"/>
              <c:layout>
                <c:manualLayout>
                  <c:x val="-4.166545927887684E-2"/>
                  <c:y val="-4.2515447664498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A3-4BFF-BAA6-175F3534FA8B}"/>
                </c:ext>
              </c:extLst>
            </c:dLbl>
            <c:dLbl>
              <c:idx val="13"/>
              <c:layout>
                <c:manualLayout>
                  <c:x val="-4.0243378876000768E-2"/>
                  <c:y val="-3.76761099186793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A3-4BFF-BAA6-175F3534FA8B}"/>
                </c:ext>
              </c:extLst>
            </c:dLbl>
            <c:dLbl>
              <c:idx val="14"/>
              <c:layout>
                <c:manualLayout>
                  <c:x val="-4.0173795211271165E-2"/>
                  <c:y val="-4.9064424867123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A3-4BFF-BAA6-175F3534FA8B}"/>
                </c:ext>
              </c:extLst>
            </c:dLbl>
            <c:dLbl>
              <c:idx val="15"/>
              <c:layout>
                <c:manualLayout>
                  <c:x val="-4.4938274523380582E-2"/>
                  <c:y val="2.006877261391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A3-4BFF-BAA6-175F3534FA8B}"/>
                </c:ext>
              </c:extLst>
            </c:dLbl>
            <c:dLbl>
              <c:idx val="16"/>
              <c:layout>
                <c:manualLayout>
                  <c:x val="-4.8570022736547452E-2"/>
                  <c:y val="-1.68849994595477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A3-4BFF-BAA6-175F3534FA8B}"/>
                </c:ext>
              </c:extLst>
            </c:dLbl>
            <c:dLbl>
              <c:idx val="17"/>
              <c:layout>
                <c:manualLayout>
                  <c:x val="-4.5016125459103933E-2"/>
                  <c:y val="-1.68849994595477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A3-4BFF-BAA6-175F3534FA8B}"/>
                </c:ext>
              </c:extLst>
            </c:dLbl>
            <c:dLbl>
              <c:idx val="18"/>
              <c:layout>
                <c:manualLayout>
                  <c:x val="-1.4087683484008944E-2"/>
                  <c:y val="4.43715480910580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A3-4BFF-BAA6-175F3534FA8B}"/>
                </c:ext>
              </c:extLst>
            </c:dLbl>
            <c:dLbl>
              <c:idx val="19"/>
              <c:layout>
                <c:manualLayout>
                  <c:x val="-4.6200664606774307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A3-4BFF-BAA6-175F3534FA8B}"/>
                </c:ext>
              </c:extLst>
            </c:dLbl>
            <c:dLbl>
              <c:idx val="20"/>
              <c:layout>
                <c:manualLayout>
                  <c:x val="-4.5016032180959599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A3-4BFF-BAA6-175F3534FA8B}"/>
                </c:ext>
              </c:extLst>
            </c:dLbl>
            <c:dLbl>
              <c:idx val="21"/>
              <c:layout>
                <c:manualLayout>
                  <c:x val="-5.09391943100334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A3-4BFF-BAA6-175F3534FA8B}"/>
                </c:ext>
              </c:extLst>
            </c:dLbl>
            <c:dLbl>
              <c:idx val="22"/>
              <c:layout>
                <c:manualLayout>
                  <c:x val="-4.6200664606774307E-2"/>
                  <c:y val="-5.06549983786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1A3-4BFF-BAA6-175F3534FA8B}"/>
                </c:ext>
              </c:extLst>
            </c:dLbl>
            <c:dLbl>
              <c:idx val="23"/>
              <c:layout>
                <c:manualLayout>
                  <c:x val="-4.2646767329330183E-2"/>
                  <c:y val="-1.68158640286896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1A3-4BFF-BAA6-175F3534FA8B}"/>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lang="es-ES" sz="800" baseline="0">
                    <a:latin typeface="Arial"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PTyCI!$E$15:$W$15</c:f>
              <c:numCache>
                <c:formatCode>"Mes "#,#00\ </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PTyCI!$E$162:$W$162</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B0B8-44AD-83A6-17F4475A3F59}"/>
            </c:ext>
          </c:extLst>
        </c:ser>
        <c:ser>
          <c:idx val="2"/>
          <c:order val="2"/>
          <c:tx>
            <c:strRef>
              <c:f>PTyCI!$D$167</c:f>
              <c:strCache>
                <c:ptCount val="1"/>
                <c:pt idx="0">
                  <c:v>Curva máxima</c:v>
                </c:pt>
              </c:strCache>
            </c:strRef>
          </c:tx>
          <c:marker>
            <c:symbol val="none"/>
          </c:marker>
          <c:dLbls>
            <c:dLbl>
              <c:idx val="2"/>
              <c:layout>
                <c:manualLayout>
                  <c:x val="-4.3680470525768247E-2"/>
                  <c:y val="-1.29972641416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593-4D7F-B55A-45AD6C7F9F5B}"/>
                </c:ext>
              </c:extLst>
            </c:dLbl>
            <c:dLbl>
              <c:idx val="3"/>
              <c:layout>
                <c:manualLayout>
                  <c:x val="-4.2499917268315028E-2"/>
                  <c:y val="-1.4854016161929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593-4D7F-B55A-45AD6C7F9F5B}"/>
                </c:ext>
              </c:extLst>
            </c:dLbl>
            <c:dLbl>
              <c:idx val="4"/>
              <c:layout>
                <c:manualLayout>
                  <c:x val="-3.6597150981049049E-2"/>
                  <c:y val="-1.6710768182171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593-4D7F-B55A-45AD6C7F9F5B}"/>
                </c:ext>
              </c:extLst>
            </c:dLbl>
            <c:dLbl>
              <c:idx val="5"/>
              <c:layout>
                <c:manualLayout>
                  <c:x val="-4.249991726831507E-2"/>
                  <c:y val="-1.8567520202412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593-4D7F-B55A-45AD6C7F9F5B}"/>
                </c:ext>
              </c:extLst>
            </c:dLbl>
            <c:dLbl>
              <c:idx val="6"/>
              <c:layout>
                <c:manualLayout>
                  <c:x val="-3.4236044466142659E-2"/>
                  <c:y val="-2.2281024242894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593-4D7F-B55A-45AD6C7F9F5B}"/>
                </c:ext>
              </c:extLst>
            </c:dLbl>
            <c:dLbl>
              <c:idx val="7"/>
              <c:layout>
                <c:manualLayout>
                  <c:x val="-3.5416597723595858E-2"/>
                  <c:y val="-1.29972641416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593-4D7F-B55A-45AD6C7F9F5B}"/>
                </c:ext>
              </c:extLst>
            </c:dLbl>
            <c:dLbl>
              <c:idx val="8"/>
              <c:layout>
                <c:manualLayout>
                  <c:x val="-4.60415770406747E-2"/>
                  <c:y val="-5.5702560607236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93-4D7F-B55A-45AD6C7F9F5B}"/>
                </c:ext>
              </c:extLst>
            </c:dLbl>
            <c:dLbl>
              <c:idx val="9"/>
              <c:layout>
                <c:manualLayout>
                  <c:x val="-2.7152724921423576E-2"/>
                  <c:y val="-2.2281024242894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93-4D7F-B55A-45AD6C7F9F5B}"/>
                </c:ext>
              </c:extLst>
            </c:dLbl>
            <c:dLbl>
              <c:idx val="10"/>
              <c:layout>
                <c:manualLayout>
                  <c:x val="-2.7152724921423489E-2"/>
                  <c:y val="-1.8567520202412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93-4D7F-B55A-45AD6C7F9F5B}"/>
                </c:ext>
              </c:extLst>
            </c:dLbl>
            <c:dLbl>
              <c:idx val="11"/>
              <c:layout>
                <c:manualLayout>
                  <c:x val="-2.5882168356628293E-2"/>
                  <c:y val="-2.3694516944016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93-4D7F-B55A-45AD6C7F9F5B}"/>
                </c:ext>
              </c:extLst>
            </c:dLbl>
            <c:dLbl>
              <c:idx val="12"/>
              <c:layout>
                <c:manualLayout>
                  <c:x val="-3.3895823531250882E-2"/>
                  <c:y val="-1.6617472765847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93-4D7F-B55A-45AD6C7F9F5B}"/>
                </c:ext>
              </c:extLst>
            </c:dLbl>
            <c:dLbl>
              <c:idx val="13"/>
              <c:layout>
                <c:manualLayout>
                  <c:x val="-3.8708058207784064E-2"/>
                  <c:y val="-1.7237982786937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93-4D7F-B55A-45AD6C7F9F5B}"/>
                </c:ext>
              </c:extLst>
            </c:dLbl>
            <c:dLbl>
              <c:idx val="14"/>
              <c:layout>
                <c:manualLayout>
                  <c:x val="-2.6362295643261809E-2"/>
                  <c:y val="-1.5381186253106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93-4D7F-B55A-45AD6C7F9F5B}"/>
                </c:ext>
              </c:extLst>
            </c:dLbl>
            <c:dLbl>
              <c:idx val="15"/>
              <c:layout>
                <c:manualLayout>
                  <c:x val="-1.9369042017857736E-2"/>
                  <c:y val="-2.192181016848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93-4D7F-B55A-45AD6C7F9F5B}"/>
                </c:ext>
              </c:extLst>
            </c:dLbl>
            <c:dLbl>
              <c:idx val="16"/>
              <c:layout>
                <c:manualLayout>
                  <c:x val="-1.0895086135044927E-2"/>
                  <c:y val="-1.7681124675457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B5-457E-AF1B-5120ABDF90FB}"/>
                </c:ext>
              </c:extLst>
            </c:dLbl>
            <c:dLbl>
              <c:idx val="17"/>
              <c:layout>
                <c:manualLayout>
                  <c:x val="-1.0895086135044927E-2"/>
                  <c:y val="-2.4753574545640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B5-457E-AF1B-5120ABDF90F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PTyCI!$E$15:$W$15</c:f>
              <c:numCache>
                <c:formatCode>"Mes "#,#00\ </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PTyCI!$E$167:$W$167</c:f>
              <c:numCache>
                <c:formatCode>0.00%</c:formatCode>
                <c:ptCount val="19"/>
                <c:pt idx="0">
                  <c:v>0</c:v>
                </c:pt>
                <c:pt idx="1">
                  <c:v>3.8899999999999997E-2</c:v>
                </c:pt>
                <c:pt idx="2">
                  <c:v>8.8900000000000007E-2</c:v>
                </c:pt>
                <c:pt idx="3">
                  <c:v>0.15</c:v>
                </c:pt>
                <c:pt idx="4">
                  <c:v>0.2233</c:v>
                </c:pt>
                <c:pt idx="5">
                  <c:v>0.29599999999999999</c:v>
                </c:pt>
                <c:pt idx="6">
                  <c:v>0.38</c:v>
                </c:pt>
                <c:pt idx="7">
                  <c:v>0.46339999999999998</c:v>
                </c:pt>
                <c:pt idx="8">
                  <c:v>0.54669999999999996</c:v>
                </c:pt>
                <c:pt idx="9">
                  <c:v>0.63</c:v>
                </c:pt>
                <c:pt idx="10">
                  <c:v>0.7077</c:v>
                </c:pt>
                <c:pt idx="11">
                  <c:v>0.76700000000000002</c:v>
                </c:pt>
                <c:pt idx="12">
                  <c:v>0.82340000000000002</c:v>
                </c:pt>
                <c:pt idx="13">
                  <c:v>0.86929999999999996</c:v>
                </c:pt>
                <c:pt idx="14">
                  <c:v>0.91549999999999998</c:v>
                </c:pt>
                <c:pt idx="15">
                  <c:v>0.94669999999999999</c:v>
                </c:pt>
                <c:pt idx="16">
                  <c:v>0.96740000000000004</c:v>
                </c:pt>
                <c:pt idx="17">
                  <c:v>0.98880000000000001</c:v>
                </c:pt>
                <c:pt idx="18">
                  <c:v>1</c:v>
                </c:pt>
              </c:numCache>
            </c:numRef>
          </c:val>
          <c:smooth val="0"/>
          <c:extLst>
            <c:ext xmlns:c16="http://schemas.microsoft.com/office/drawing/2014/chart" uri="{C3380CC4-5D6E-409C-BE32-E72D297353CC}">
              <c16:uniqueId val="{00000000-917A-42CE-B4F7-0961975DFC19}"/>
            </c:ext>
          </c:extLst>
        </c:ser>
        <c:ser>
          <c:idx val="3"/>
          <c:order val="3"/>
          <c:tx>
            <c:strRef>
              <c:f>PTyCI!$D$168</c:f>
              <c:strCache>
                <c:ptCount val="1"/>
                <c:pt idx="0">
                  <c:v>Cuva mínima</c:v>
                </c:pt>
              </c:strCache>
            </c:strRef>
          </c:tx>
          <c:marker>
            <c:symbol val="none"/>
          </c:marker>
          <c:dLbls>
            <c:dLbl>
              <c:idx val="15"/>
              <c:layout>
                <c:manualLayout>
                  <c:x val="0"/>
                  <c:y val="-7.4270080809649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93-4D7F-B55A-45AD6C7F9F5B}"/>
                </c:ext>
              </c:extLst>
            </c:dLbl>
            <c:dLbl>
              <c:idx val="18"/>
              <c:layout>
                <c:manualLayout>
                  <c:x val="0"/>
                  <c:y val="-2.652168701318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0E-4CFC-A303-41FC4BA1B89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PTyCI!$E$15:$W$15</c:f>
              <c:numCache>
                <c:formatCode>"Mes "#,#00\ </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PTyCI!$E$168:$W$168</c:f>
              <c:numCache>
                <c:formatCode>0.00%</c:formatCode>
                <c:ptCount val="19"/>
                <c:pt idx="0">
                  <c:v>0</c:v>
                </c:pt>
                <c:pt idx="1">
                  <c:v>2.0500000000000001E-2</c:v>
                </c:pt>
                <c:pt idx="2">
                  <c:v>3.8800000000000001E-2</c:v>
                </c:pt>
                <c:pt idx="3">
                  <c:v>5.5E-2</c:v>
                </c:pt>
                <c:pt idx="4">
                  <c:v>9.5000000000000001E-2</c:v>
                </c:pt>
                <c:pt idx="5">
                  <c:v>0.14330000000000001</c:v>
                </c:pt>
                <c:pt idx="6">
                  <c:v>0.2</c:v>
                </c:pt>
                <c:pt idx="7">
                  <c:v>0.2666</c:v>
                </c:pt>
                <c:pt idx="8">
                  <c:v>0.3266</c:v>
                </c:pt>
                <c:pt idx="9">
                  <c:v>0.4</c:v>
                </c:pt>
                <c:pt idx="10">
                  <c:v>0.46660000000000001</c:v>
                </c:pt>
                <c:pt idx="11">
                  <c:v>0.52839999999999998</c:v>
                </c:pt>
                <c:pt idx="12">
                  <c:v>0.6</c:v>
                </c:pt>
                <c:pt idx="13">
                  <c:v>0.67090000000000005</c:v>
                </c:pt>
                <c:pt idx="14">
                  <c:v>0.74639999999999995</c:v>
                </c:pt>
                <c:pt idx="15">
                  <c:v>0.82</c:v>
                </c:pt>
                <c:pt idx="16">
                  <c:v>0.89</c:v>
                </c:pt>
                <c:pt idx="17">
                  <c:v>0.94889999999999997</c:v>
                </c:pt>
                <c:pt idx="18">
                  <c:v>1</c:v>
                </c:pt>
              </c:numCache>
            </c:numRef>
          </c:val>
          <c:smooth val="0"/>
          <c:extLst>
            <c:ext xmlns:c16="http://schemas.microsoft.com/office/drawing/2014/chart" uri="{C3380CC4-5D6E-409C-BE32-E72D297353CC}">
              <c16:uniqueId val="{00000001-917A-42CE-B4F7-0961975DFC19}"/>
            </c:ext>
          </c:extLst>
        </c:ser>
        <c:dLbls>
          <c:showLegendKey val="0"/>
          <c:showVal val="0"/>
          <c:showCatName val="0"/>
          <c:showSerName val="0"/>
          <c:showPercent val="0"/>
          <c:showBubbleSize val="0"/>
        </c:dLbls>
        <c:smooth val="0"/>
        <c:axId val="86573824"/>
        <c:axId val="86575744"/>
      </c:lineChart>
      <c:catAx>
        <c:axId val="86573824"/>
        <c:scaling>
          <c:orientation val="minMax"/>
        </c:scaling>
        <c:delete val="0"/>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ES" sz="1000" baseline="0">
                <a:latin typeface="Arial" pitchFamily="34" charset="0"/>
              </a:defRPr>
            </a:pPr>
            <a:endParaRPr lang="es-MX"/>
          </a:p>
        </c:txPr>
        <c:crossAx val="86575744"/>
        <c:crossesAt val="0"/>
        <c:auto val="1"/>
        <c:lblAlgn val="ctr"/>
        <c:lblOffset val="100"/>
        <c:noMultiLvlLbl val="0"/>
      </c:catAx>
      <c:valAx>
        <c:axId val="86575744"/>
        <c:scaling>
          <c:orientation val="minMax"/>
          <c:max val="1"/>
        </c:scaling>
        <c:delete val="0"/>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 (%)</a:t>
                </a:r>
              </a:p>
            </c:rich>
          </c:tx>
          <c:layout>
            <c:manualLayout>
              <c:xMode val="edge"/>
              <c:yMode val="edge"/>
              <c:x val="2.2276280466759944E-3"/>
              <c:y val="0.3248144934063954"/>
            </c:manualLayout>
          </c:layout>
          <c:overlay val="0"/>
        </c:title>
        <c:numFmt formatCode="0%" sourceLinked="0"/>
        <c:majorTickMark val="out"/>
        <c:minorTickMark val="none"/>
        <c:tickLblPos val="nextTo"/>
        <c:txPr>
          <a:bodyPr/>
          <a:lstStyle/>
          <a:p>
            <a:pPr>
              <a:defRPr lang="es-ES" baseline="0">
                <a:latin typeface="Arial" pitchFamily="34" charset="0"/>
              </a:defRPr>
            </a:pPr>
            <a:endParaRPr lang="es-MX"/>
          </a:p>
        </c:txPr>
        <c:crossAx val="86573824"/>
        <c:crosses val="autoZero"/>
        <c:crossBetween val="midCat"/>
      </c:valAx>
    </c:plotArea>
    <c:legend>
      <c:legendPos val="r"/>
      <c:layout>
        <c:manualLayout>
          <c:xMode val="edge"/>
          <c:yMode val="edge"/>
          <c:x val="0.85807218542126673"/>
          <c:y val="2.9782253469085385E-3"/>
          <c:w val="0.12742938339424492"/>
          <c:h val="0.13430194384392405"/>
        </c:manualLayout>
      </c:layout>
      <c:overlay val="0"/>
      <c:txPr>
        <a:bodyPr/>
        <a:lstStyle/>
        <a:p>
          <a:pPr>
            <a:defRPr lang="es-ES"/>
          </a:pPr>
          <a:endParaRPr lang="es-MX"/>
        </a:p>
      </c:txPr>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28107246088226E-2"/>
          <c:y val="0.17619174658617612"/>
          <c:w val="0.87508287037040389"/>
          <c:h val="0.73851531703751261"/>
        </c:manualLayout>
      </c:layout>
      <c:lineChart>
        <c:grouping val="standard"/>
        <c:varyColors val="0"/>
        <c:ser>
          <c:idx val="0"/>
          <c:order val="0"/>
          <c:tx>
            <c:strRef>
              <c:f>PTyCI!$D$164</c:f>
              <c:strCache>
                <c:ptCount val="1"/>
                <c:pt idx="0">
                  <c:v>Inversión Mensual</c:v>
                </c:pt>
              </c:strCache>
            </c:strRef>
          </c:tx>
          <c:marker>
            <c:symbol val="none"/>
          </c:marker>
          <c:dLbls>
            <c:dLbl>
              <c:idx val="1"/>
              <c:layout>
                <c:manualLayout>
                  <c:x val="-1.1728228321824441E-3"/>
                  <c:y val="3.3759312054335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4-47BE-80A4-91A8D5E254C0}"/>
                </c:ext>
              </c:extLst>
            </c:dLbl>
            <c:dLbl>
              <c:idx val="2"/>
              <c:layout>
                <c:manualLayout>
                  <c:x val="0"/>
                  <c:y val="6.75186241086724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4-47BE-80A4-91A8D5E254C0}"/>
                </c:ext>
              </c:extLst>
            </c:dLbl>
            <c:dLbl>
              <c:idx val="3"/>
              <c:layout>
                <c:manualLayout>
                  <c:x val="9.3825826574604788E-3"/>
                  <c:y val="3.37593120543326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4-47BE-80A4-91A8D5E254C0}"/>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dLbl>
              <c:idx val="5"/>
              <c:layout>
                <c:manualLayout>
                  <c:x val="-9.3825826574604788E-3"/>
                  <c:y val="6.7518624108671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4-47BE-80A4-91A8D5E254C0}"/>
                </c:ext>
              </c:extLst>
            </c:dLbl>
            <c:dLbl>
              <c:idx val="6"/>
              <c:layout>
                <c:manualLayout>
                  <c:x val="-8.2098521735316076E-3"/>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4-47BE-80A4-91A8D5E254C0}"/>
                </c:ext>
              </c:extLst>
            </c:dLbl>
            <c:dLbl>
              <c:idx val="7"/>
              <c:layout>
                <c:manualLayout>
                  <c:x val="-2.3456456643648127E-3"/>
                  <c:y val="-6.7518624108671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4-47BE-80A4-91A8D5E254C0}"/>
                </c:ext>
              </c:extLst>
            </c:dLbl>
            <c:dLbl>
              <c:idx val="8"/>
              <c:layout>
                <c:manualLayout>
                  <c:x val="1.1728228321824441E-3"/>
                  <c:y val="-1.6879656027166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4-47BE-80A4-91A8D5E254C0}"/>
                </c:ext>
              </c:extLst>
            </c:dLbl>
            <c:dLbl>
              <c:idx val="9"/>
              <c:layout>
                <c:manualLayout>
                  <c:x val="-3.5184684965473296E-3"/>
                  <c:y val="1.1815759219018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4-47BE-80A4-91A8D5E254C0}"/>
                </c:ext>
              </c:extLst>
            </c:dLbl>
            <c:dLbl>
              <c:idx val="10"/>
              <c:layout>
                <c:manualLayout>
                  <c:x val="3.5184684965473296E-3"/>
                  <c:y val="1.0127793616300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34-47BE-80A4-91A8D5E254C0}"/>
                </c:ext>
              </c:extLst>
            </c:dLbl>
            <c:dLbl>
              <c:idx val="11"/>
              <c:layout>
                <c:manualLayout>
                  <c:x val="1.1728228321824441E-3"/>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34-47BE-80A4-91A8D5E254C0}"/>
                </c:ext>
              </c:extLst>
            </c:dLbl>
            <c:dLbl>
              <c:idx val="12"/>
              <c:layout>
                <c:manualLayout>
                  <c:x val="1.1728228321824441E-3"/>
                  <c:y val="1.6879656027166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4-47BE-80A4-91A8D5E254C0}"/>
                </c:ext>
              </c:extLst>
            </c:dLbl>
            <c:dLbl>
              <c:idx val="13"/>
              <c:layout>
                <c:manualLayout>
                  <c:x val="0"/>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434-47BE-80A4-91A8D5E254C0}"/>
                </c:ext>
              </c:extLst>
            </c:dLbl>
            <c:dLbl>
              <c:idx val="14"/>
              <c:layout>
                <c:manualLayout>
                  <c:x val="2.3456456643648127E-3"/>
                  <c:y val="3.3759312054335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434-47BE-80A4-91A8D5E254C0}"/>
                </c:ext>
              </c:extLst>
            </c:dLbl>
            <c:dLbl>
              <c:idx val="15"/>
              <c:layout>
                <c:manualLayout>
                  <c:x val="-3.5185608448018452E-3"/>
                  <c:y val="-1.1815759219018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34-47BE-80A4-91A8D5E254C0}"/>
                </c:ext>
              </c:extLst>
            </c:dLbl>
            <c:dLbl>
              <c:idx val="16"/>
              <c:layout>
                <c:manualLayout>
                  <c:x val="1.1728228321824441E-3"/>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434-47BE-80A4-91A8D5E254C0}"/>
                </c:ext>
              </c:extLst>
            </c:dLbl>
            <c:dLbl>
              <c:idx val="17"/>
              <c:layout>
                <c:manualLayout>
                  <c:x val="0"/>
                  <c:y val="-3.3759312054335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34-47BE-80A4-91A8D5E254C0}"/>
                </c:ext>
              </c:extLst>
            </c:dLbl>
            <c:dLbl>
              <c:idx val="18"/>
              <c:layout>
                <c:manualLayout>
                  <c:x val="-4.6912913287297823E-3"/>
                  <c:y val="1.1815759219017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434-47BE-80A4-91A8D5E254C0}"/>
                </c:ext>
              </c:extLst>
            </c:dLbl>
            <c:dLbl>
              <c:idx val="19"/>
              <c:layout>
                <c:manualLayout>
                  <c:x val="-2.3456456643648127E-3"/>
                  <c:y val="2.025558723260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434-47BE-80A4-91A8D5E254C0}"/>
                </c:ext>
              </c:extLst>
            </c:dLbl>
            <c:dLbl>
              <c:idx val="20"/>
              <c:layout>
                <c:manualLayout>
                  <c:x val="-2.3456456643648127E-3"/>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434-47BE-80A4-91A8D5E254C0}"/>
                </c:ext>
              </c:extLst>
            </c:dLbl>
            <c:dLbl>
              <c:idx val="21"/>
              <c:layout>
                <c:manualLayout>
                  <c:x val="0"/>
                  <c:y val="-6.7518624108671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434-47BE-80A4-91A8D5E254C0}"/>
                </c:ext>
              </c:extLst>
            </c:dLbl>
            <c:dLbl>
              <c:idx val="22"/>
              <c:layout>
                <c:manualLayout>
                  <c:x val="0"/>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434-47BE-80A4-91A8D5E254C0}"/>
                </c:ext>
              </c:extLst>
            </c:dLbl>
            <c:dLbl>
              <c:idx val="23"/>
              <c:layout>
                <c:manualLayout>
                  <c:x val="1.1728228321824441E-3"/>
                  <c:y val="-6.7518624108671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434-47BE-80A4-91A8D5E254C0}"/>
                </c:ext>
              </c:extLst>
            </c:dLbl>
            <c:dLbl>
              <c:idx val="24"/>
              <c:layout>
                <c:manualLayout>
                  <c:x val="0"/>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434-47BE-80A4-91A8D5E254C0}"/>
                </c:ext>
              </c:extLst>
            </c:dLbl>
            <c:numFmt formatCode="&quot;$&quot;\ #,##0.00" sourceLinked="0"/>
            <c:spPr>
              <a:noFill/>
              <a:ln>
                <a:noFill/>
              </a:ln>
              <a:effectLst/>
            </c:spPr>
            <c:txPr>
              <a:bodyPr rot="0" vert="horz" anchor="ctr" anchorCtr="0"/>
              <a:lstStyle/>
              <a:p>
                <a:pPr>
                  <a:defRPr lang="es-ES" sz="600" baseline="0">
                    <a:latin typeface="Arial"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PTyCI!$E$15:$W$15</c:f>
              <c:numCache>
                <c:formatCode>"Mes "#,#00\ </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PTyCI!$E$164:$W$164</c:f>
              <c:numCache>
                <c:formatCode>_("$"* #,##0.00_);_("$"* \(#,##0.00\);_("$"*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1-4436-4470-8CE5-65C56222A8E1}"/>
            </c:ext>
          </c:extLst>
        </c:ser>
        <c:ser>
          <c:idx val="1"/>
          <c:order val="1"/>
          <c:tx>
            <c:strRef>
              <c:f>PTyCI!$D$165</c:f>
              <c:strCache>
                <c:ptCount val="1"/>
                <c:pt idx="0">
                  <c:v>Inversión Acumulada</c:v>
                </c:pt>
              </c:strCache>
            </c:strRef>
          </c:tx>
          <c:marker>
            <c:symbol val="none"/>
          </c:marker>
          <c:dLbls>
            <c:dLbl>
              <c:idx val="1"/>
              <c:layout>
                <c:manualLayout>
                  <c:x val="-1.9550956612481341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434-47BE-80A4-91A8D5E254C0}"/>
                </c:ext>
              </c:extLst>
            </c:dLbl>
            <c:dLbl>
              <c:idx val="2"/>
              <c:layout>
                <c:manualLayout>
                  <c:x val="-2.3069425109028638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434-47BE-80A4-91A8D5E254C0}"/>
                </c:ext>
              </c:extLst>
            </c:dLbl>
            <c:dLbl>
              <c:idx val="4"/>
              <c:layout>
                <c:manualLayout>
                  <c:x val="-3.7810186384929827E-2"/>
                  <c:y val="-1.29463299846140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4-4B87-AF60-C319ABFF3307}"/>
                </c:ext>
              </c:extLst>
            </c:dLbl>
            <c:dLbl>
              <c:idx val="5"/>
              <c:layout>
                <c:manualLayout>
                  <c:x val="-4.3787222222222533E-2"/>
                  <c:y val="-1.763498384751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434-47BE-80A4-91A8D5E254C0}"/>
                </c:ext>
              </c:extLst>
            </c:dLbl>
            <c:dLbl>
              <c:idx val="6"/>
              <c:layout>
                <c:manualLayout>
                  <c:x val="-4.0111711352536841E-2"/>
                  <c:y val="-1.45698856608442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434-47BE-80A4-91A8D5E254C0}"/>
                </c:ext>
              </c:extLst>
            </c:dLbl>
            <c:dLbl>
              <c:idx val="7"/>
              <c:layout>
                <c:manualLayout>
                  <c:x val="-3.6753404764708189E-2"/>
                  <c:y val="-1.9322953009430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434-47BE-80A4-91A8D5E254C0}"/>
                </c:ext>
              </c:extLst>
            </c:dLbl>
            <c:dLbl>
              <c:idx val="8"/>
              <c:layout>
                <c:manualLayout>
                  <c:x val="-3.3422824678560746E-2"/>
                  <c:y val="-1.1413762934805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D4-4B87-AF60-C319ABFF3307}"/>
                </c:ext>
              </c:extLst>
            </c:dLbl>
            <c:dLbl>
              <c:idx val="11"/>
              <c:layout>
                <c:manualLayout>
                  <c:x val="-2.8153658260666799E-2"/>
                  <c:y val="-1.5947021803996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434-47BE-80A4-91A8D5E254C0}"/>
                </c:ext>
              </c:extLst>
            </c:dLbl>
            <c:dLbl>
              <c:idx val="12"/>
              <c:layout>
                <c:manualLayout>
                  <c:x val="-3.2844949589398348E-2"/>
                  <c:y val="-2.269888421486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434-47BE-80A4-91A8D5E254C0}"/>
                </c:ext>
              </c:extLst>
            </c:dLbl>
            <c:dLbl>
              <c:idx val="13"/>
              <c:layout>
                <c:manualLayout>
                  <c:x val="-3.8228565733080824E-2"/>
                  <c:y val="-1.3192626783720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434-47BE-80A4-91A8D5E254C0}"/>
                </c:ext>
              </c:extLst>
            </c:dLbl>
            <c:dLbl>
              <c:idx val="14"/>
              <c:layout>
                <c:manualLayout>
                  <c:x val="-3.8709063750308789E-2"/>
                  <c:y val="-2.4386849817580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434-47BE-80A4-91A8D5E254C0}"/>
                </c:ext>
              </c:extLst>
            </c:dLbl>
            <c:dLbl>
              <c:idx val="15"/>
              <c:layout>
                <c:manualLayout>
                  <c:x val="-4.3400355079038479E-2"/>
                  <c:y val="-1.9322953009430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434-47BE-80A4-91A8D5E254C0}"/>
                </c:ext>
              </c:extLst>
            </c:dLbl>
            <c:dLbl>
              <c:idx val="16"/>
              <c:layout>
                <c:manualLayout>
                  <c:x val="-4.1054709414673762E-2"/>
                  <c:y val="-1.9322953009430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434-47BE-80A4-91A8D5E254C0}"/>
                </c:ext>
              </c:extLst>
            </c:dLbl>
            <c:dLbl>
              <c:idx val="17"/>
              <c:layout>
                <c:manualLayout>
                  <c:x val="-4.4573177911222034E-2"/>
                  <c:y val="-1.9322953009430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434-47BE-80A4-91A8D5E254C0}"/>
                </c:ext>
              </c:extLst>
            </c:dLbl>
            <c:dLbl>
              <c:idx val="18"/>
              <c:layout>
                <c:manualLayout>
                  <c:x val="-4.1054709414673679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434-47BE-80A4-91A8D5E254C0}"/>
                </c:ext>
              </c:extLst>
            </c:dLbl>
            <c:numFmt formatCode="&quot;$&quot;\ #,##0.00" sourceLinked="0"/>
            <c:spPr>
              <a:noFill/>
              <a:ln>
                <a:noFill/>
              </a:ln>
              <a:effectLst/>
            </c:spPr>
            <c:txPr>
              <a:bodyPr rot="0" vert="horz" anchor="ctr" anchorCtr="1"/>
              <a:lstStyle/>
              <a:p>
                <a:pPr>
                  <a:defRPr lang="es-ES" sz="600" baseline="0">
                    <a:latin typeface="Arial" pitchFamily="34" charset="0"/>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PTyCI!$E$15:$W$15</c:f>
              <c:numCache>
                <c:formatCode>"Mes "#,#00\ </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PTyCI!$E$165:$W$165</c:f>
              <c:numCache>
                <c:formatCode>_("$"* #,##0.00_);_("$"* \(#,##0.00\);_("$"*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86692992"/>
        <c:axId val="86694912"/>
      </c:lineChart>
      <c:catAx>
        <c:axId val="86692992"/>
        <c:scaling>
          <c:orientation val="minMax"/>
        </c:scaling>
        <c:delete val="0"/>
        <c:axPos val="b"/>
        <c:title>
          <c:tx>
            <c:rich>
              <a:bodyPr/>
              <a:lstStyle/>
              <a:p>
                <a:pPr>
                  <a:defRPr lang="es-ES"/>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ES" sz="1000" baseline="0">
                <a:latin typeface="Arial" pitchFamily="34" charset="0"/>
              </a:defRPr>
            </a:pPr>
            <a:endParaRPr lang="es-MX"/>
          </a:p>
        </c:txPr>
        <c:crossAx val="86694912"/>
        <c:crosses val="autoZero"/>
        <c:auto val="1"/>
        <c:lblAlgn val="ctr"/>
        <c:lblOffset val="100"/>
        <c:noMultiLvlLbl val="0"/>
      </c:catAx>
      <c:valAx>
        <c:axId val="86694912"/>
        <c:scaling>
          <c:orientation val="minMax"/>
        </c:scaling>
        <c:delete val="0"/>
        <c:axPos val="l"/>
        <c:majorGridlines/>
        <c:title>
          <c:tx>
            <c:rich>
              <a:bodyPr rot="-5400000" vert="horz"/>
              <a:lstStyle/>
              <a:p>
                <a:pPr>
                  <a:defRPr lang="es-ES"/>
                </a:pPr>
                <a:r>
                  <a:rPr lang="en-US"/>
                  <a:t>MILLES DE PESOS</a:t>
                </a:r>
              </a:p>
            </c:rich>
          </c:tx>
          <c:layout>
            <c:manualLayout>
              <c:xMode val="edge"/>
              <c:yMode val="edge"/>
              <c:x val="1.2165740740740737E-2"/>
              <c:y val="0.48667319444446056"/>
            </c:manualLayout>
          </c:layout>
          <c:overlay val="0"/>
        </c:title>
        <c:numFmt formatCode="&quot;$&quot;\ #,##0" sourceLinked="0"/>
        <c:majorTickMark val="out"/>
        <c:minorTickMark val="none"/>
        <c:tickLblPos val="nextTo"/>
        <c:txPr>
          <a:bodyPr/>
          <a:lstStyle/>
          <a:p>
            <a:pPr>
              <a:defRPr lang="es-ES"/>
            </a:pPr>
            <a:endParaRPr lang="es-MX"/>
          </a:p>
        </c:txPr>
        <c:crossAx val="866929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overlay val="0"/>
      <c:txPr>
        <a:bodyPr/>
        <a:lstStyle/>
        <a:p>
          <a:pPr>
            <a:defRPr lang="es-ES"/>
          </a:pPr>
          <a:endParaRPr lang="es-MX"/>
        </a:p>
      </c:txPr>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85725</xdr:colOff>
      <xdr:row>36</xdr:row>
      <xdr:rowOff>10476</xdr:rowOff>
    </xdr:to>
    <xdr:graphicFrame macro="">
      <xdr:nvGraphicFramePr>
        <xdr:cNvPr id="12" name="1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0.56464</cdr:x>
      <cdr:y>0.64852</cdr:y>
    </cdr:from>
    <cdr:to>
      <cdr:x>0.65704</cdr:x>
      <cdr:y>0.68512</cdr:y>
    </cdr:to>
    <cdr:sp macro="" textlink="">
      <cdr:nvSpPr>
        <cdr:cNvPr id="2" name="1 CuadroTexto"/>
        <cdr:cNvSpPr txBox="1"/>
      </cdr:nvSpPr>
      <cdr:spPr>
        <a:xfrm xmlns:a="http://schemas.openxmlformats.org/drawingml/2006/main">
          <a:off x="6098874" y="4658212"/>
          <a:ext cx="998045" cy="262891"/>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Curva Mínima</a:t>
          </a:r>
        </a:p>
      </cdr:txBody>
    </cdr:sp>
  </cdr:relSizeAnchor>
  <cdr:relSizeAnchor xmlns:cdr="http://schemas.openxmlformats.org/drawingml/2006/chartDrawing">
    <cdr:from>
      <cdr:x>0.56261</cdr:x>
      <cdr:y>0.56756</cdr:y>
    </cdr:from>
    <cdr:to>
      <cdr:x>0.58466</cdr:x>
      <cdr:y>0.63892</cdr:y>
    </cdr:to>
    <cdr:sp macro="" textlink="">
      <cdr:nvSpPr>
        <cdr:cNvPr id="4" name="3 Conector recto de flecha"/>
        <cdr:cNvSpPr/>
      </cdr:nvSpPr>
      <cdr:spPr>
        <a:xfrm xmlns:a="http://schemas.openxmlformats.org/drawingml/2006/main">
          <a:off x="6076949" y="4076700"/>
          <a:ext cx="238167" cy="51253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0.42148</cdr:x>
      <cdr:y>0.17639</cdr:y>
    </cdr:from>
    <cdr:to>
      <cdr:x>0.51427</cdr:x>
      <cdr:y>0.21019</cdr:y>
    </cdr:to>
    <cdr:sp macro="" textlink="">
      <cdr:nvSpPr>
        <cdr:cNvPr id="5" name="1 CuadroTexto"/>
        <cdr:cNvSpPr txBox="1"/>
      </cdr:nvSpPr>
      <cdr:spPr>
        <a:xfrm xmlns:a="http://schemas.openxmlformats.org/drawingml/2006/main">
          <a:off x="4552542" y="1266968"/>
          <a:ext cx="1002257" cy="242779"/>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Máxima</a:t>
          </a:r>
        </a:p>
      </cdr:txBody>
    </cdr:sp>
  </cdr:relSizeAnchor>
  <cdr:relSizeAnchor xmlns:cdr="http://schemas.openxmlformats.org/drawingml/2006/chartDrawing">
    <cdr:from>
      <cdr:x>0.49282</cdr:x>
      <cdr:y>0.22302</cdr:y>
    </cdr:from>
    <cdr:to>
      <cdr:x>0.57672</cdr:x>
      <cdr:y>0.36467</cdr:y>
    </cdr:to>
    <cdr:sp macro="" textlink="">
      <cdr:nvSpPr>
        <cdr:cNvPr id="6" name="2 Conector recto de flecha"/>
        <cdr:cNvSpPr/>
      </cdr:nvSpPr>
      <cdr:spPr>
        <a:xfrm xmlns:a="http://schemas.openxmlformats.org/drawingml/2006/main" flipH="1" flipV="1">
          <a:off x="5323129" y="1601923"/>
          <a:ext cx="906220" cy="101745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0.74181</cdr:x>
      <cdr:y>0.50271</cdr:y>
    </cdr:from>
    <cdr:to>
      <cdr:x>0.84274</cdr:x>
      <cdr:y>0.53931</cdr:y>
    </cdr:to>
    <cdr:sp macro="" textlink="">
      <cdr:nvSpPr>
        <cdr:cNvPr id="7" name="6 CuadroTexto"/>
        <cdr:cNvSpPr txBox="1"/>
      </cdr:nvSpPr>
      <cdr:spPr>
        <a:xfrm xmlns:a="http://schemas.openxmlformats.org/drawingml/2006/main">
          <a:off x="8012550" y="3610848"/>
          <a:ext cx="1090180" cy="262891"/>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Banda</a:t>
          </a:r>
          <a:r>
            <a:rPr lang="es-AR" sz="1100" baseline="0"/>
            <a:t> Admisible</a:t>
          </a:r>
          <a:endParaRPr lang="es-AR" sz="1100"/>
        </a:p>
      </cdr:txBody>
    </cdr:sp>
  </cdr:relSizeAnchor>
  <cdr:relSizeAnchor xmlns:cdr="http://schemas.openxmlformats.org/drawingml/2006/chartDrawing">
    <cdr:from>
      <cdr:x>0.68203</cdr:x>
      <cdr:y>0.34479</cdr:y>
    </cdr:from>
    <cdr:to>
      <cdr:x>0.75265</cdr:x>
      <cdr:y>0.4948</cdr:y>
    </cdr:to>
    <cdr:sp macro="" textlink="">
      <cdr:nvSpPr>
        <cdr:cNvPr id="8" name="7 Conector recto de flecha"/>
        <cdr:cNvSpPr/>
      </cdr:nvSpPr>
      <cdr:spPr>
        <a:xfrm xmlns:a="http://schemas.openxmlformats.org/drawingml/2006/main">
          <a:off x="7366797" y="2476525"/>
          <a:ext cx="762791" cy="1077492"/>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0.22775</cdr:x>
      <cdr:y>0.24833</cdr:y>
    </cdr:from>
    <cdr:to>
      <cdr:x>0.33953</cdr:x>
      <cdr:y>0.28493</cdr:y>
    </cdr:to>
    <cdr:sp macro="" textlink="">
      <cdr:nvSpPr>
        <cdr:cNvPr id="9" name="1 CuadroTexto"/>
        <cdr:cNvSpPr txBox="1"/>
      </cdr:nvSpPr>
      <cdr:spPr>
        <a:xfrm xmlns:a="http://schemas.openxmlformats.org/drawingml/2006/main">
          <a:off x="2472532" y="1782067"/>
          <a:ext cx="1213517" cy="262649"/>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Contractual</a:t>
          </a:r>
        </a:p>
      </cdr:txBody>
    </cdr:sp>
  </cdr:relSizeAnchor>
  <cdr:relSizeAnchor xmlns:cdr="http://schemas.openxmlformats.org/drawingml/2006/chartDrawing">
    <cdr:from>
      <cdr:x>0.31048</cdr:x>
      <cdr:y>0.2898</cdr:y>
    </cdr:from>
    <cdr:to>
      <cdr:x>0.52103</cdr:x>
      <cdr:y>0.4701</cdr:y>
    </cdr:to>
    <cdr:sp macro="" textlink="">
      <cdr:nvSpPr>
        <cdr:cNvPr id="10" name="2 Conector recto de flecha"/>
        <cdr:cNvSpPr/>
      </cdr:nvSpPr>
      <cdr:spPr>
        <a:xfrm xmlns:a="http://schemas.openxmlformats.org/drawingml/2006/main" flipH="1" flipV="1">
          <a:off x="3370674" y="2079664"/>
          <a:ext cx="2285794" cy="1293870"/>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10583</xdr:rowOff>
    </xdr:from>
    <xdr:to>
      <xdr:col>13</xdr:col>
      <xdr:colOff>571500</xdr:colOff>
      <xdr:row>41</xdr:row>
      <xdr:rowOff>169333</xdr:rowOff>
    </xdr:to>
    <xdr:graphicFrame macro="">
      <xdr:nvGraphicFramePr>
        <xdr:cNvPr id="3"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9"/>
  <sheetViews>
    <sheetView tabSelected="1" workbookViewId="0">
      <selection activeCell="C8" sqref="C8"/>
    </sheetView>
  </sheetViews>
  <sheetFormatPr baseColWidth="10" defaultRowHeight="13.2" x14ac:dyDescent="0.25"/>
  <cols>
    <col min="1" max="1" width="5.109375" customWidth="1"/>
    <col min="2" max="2" width="35" customWidth="1"/>
    <col min="3" max="3" width="139.44140625" customWidth="1"/>
    <col min="4" max="4" width="4.33203125" bestFit="1" customWidth="1"/>
    <col min="5" max="5" width="4.44140625" customWidth="1"/>
    <col min="7" max="7" width="141.33203125" customWidth="1"/>
    <col min="8" max="8" width="8" customWidth="1"/>
    <col min="9" max="9" width="6.33203125" customWidth="1"/>
    <col min="10" max="10" width="14.5546875" customWidth="1"/>
    <col min="12" max="12" width="16" customWidth="1"/>
  </cols>
  <sheetData>
    <row r="1" spans="1:8" x14ac:dyDescent="0.25">
      <c r="B1" s="104" t="s">
        <v>7</v>
      </c>
      <c r="C1" s="351" t="s">
        <v>1123</v>
      </c>
      <c r="E1" s="104"/>
      <c r="H1" s="146"/>
    </row>
    <row r="2" spans="1:8" x14ac:dyDescent="0.25">
      <c r="B2" s="106" t="s">
        <v>8</v>
      </c>
      <c r="C2" s="352" t="s">
        <v>1528</v>
      </c>
      <c r="E2" s="104"/>
      <c r="H2" s="147"/>
    </row>
    <row r="3" spans="1:8" x14ac:dyDescent="0.25">
      <c r="B3" s="106" t="s">
        <v>12</v>
      </c>
      <c r="C3" s="353" t="s">
        <v>1527</v>
      </c>
      <c r="E3" s="108"/>
      <c r="H3" s="147"/>
    </row>
    <row r="4" spans="1:8" x14ac:dyDescent="0.25">
      <c r="B4" s="106" t="s">
        <v>11</v>
      </c>
      <c r="C4" s="368" t="s">
        <v>1553</v>
      </c>
      <c r="E4" s="178"/>
      <c r="H4" s="147"/>
    </row>
    <row r="5" spans="1:8" ht="13.8" thickBot="1" x14ac:dyDescent="0.3">
      <c r="B5" s="106" t="s">
        <v>32</v>
      </c>
      <c r="C5" s="369" t="s">
        <v>1554</v>
      </c>
      <c r="E5" s="147"/>
      <c r="H5" s="147"/>
    </row>
    <row r="6" spans="1:8" x14ac:dyDescent="0.25">
      <c r="B6" s="106" t="s">
        <v>14</v>
      </c>
      <c r="C6" s="354">
        <v>2336511667.999999</v>
      </c>
      <c r="E6" s="179"/>
      <c r="F6" s="114"/>
      <c r="G6" s="122" t="s">
        <v>1137</v>
      </c>
      <c r="H6" s="126"/>
    </row>
    <row r="7" spans="1:8" ht="13.8" thickBot="1" x14ac:dyDescent="0.3">
      <c r="B7" s="106" t="s">
        <v>1104</v>
      </c>
      <c r="C7" s="372"/>
      <c r="E7" s="180"/>
      <c r="F7" s="115"/>
      <c r="G7" s="105"/>
      <c r="H7" s="117"/>
    </row>
    <row r="8" spans="1:8" ht="13.8" thickBot="1" x14ac:dyDescent="0.3">
      <c r="B8" s="106" t="s">
        <v>1102</v>
      </c>
      <c r="C8" s="370" t="s">
        <v>1551</v>
      </c>
      <c r="E8" s="181"/>
      <c r="F8" s="115"/>
      <c r="G8" s="124" t="s">
        <v>1138</v>
      </c>
      <c r="H8" s="117"/>
    </row>
    <row r="9" spans="1:8" ht="13.8" thickBot="1" x14ac:dyDescent="0.3">
      <c r="B9" s="106" t="s">
        <v>13</v>
      </c>
      <c r="C9" s="371">
        <f>18*30</f>
        <v>540</v>
      </c>
      <c r="E9" s="109"/>
      <c r="F9" s="115"/>
      <c r="G9" s="108"/>
      <c r="H9" s="117"/>
    </row>
    <row r="10" spans="1:8" ht="13.8" thickBot="1" x14ac:dyDescent="0.3">
      <c r="A10" s="107"/>
      <c r="B10" s="106" t="s">
        <v>1237</v>
      </c>
      <c r="C10" s="370">
        <v>44895</v>
      </c>
      <c r="E10" s="109"/>
      <c r="F10" s="115"/>
      <c r="G10" s="125" t="s">
        <v>1139</v>
      </c>
      <c r="H10" s="117"/>
    </row>
    <row r="11" spans="1:8" ht="13.8" thickBot="1" x14ac:dyDescent="0.3">
      <c r="B11" s="104"/>
      <c r="C11" s="355"/>
      <c r="E11" s="104"/>
      <c r="F11" s="118"/>
      <c r="G11" s="107"/>
      <c r="H11" s="116"/>
    </row>
    <row r="12" spans="1:8" ht="13.8" thickBot="1" x14ac:dyDescent="0.3">
      <c r="B12" s="106" t="s">
        <v>9</v>
      </c>
      <c r="C12" s="261" t="s">
        <v>1552</v>
      </c>
      <c r="E12" s="182"/>
      <c r="F12" s="115"/>
      <c r="G12" s="173" t="s">
        <v>1141</v>
      </c>
      <c r="H12" s="117"/>
    </row>
    <row r="13" spans="1:8" ht="13.8" thickBot="1" x14ac:dyDescent="0.3">
      <c r="B13" s="106" t="s">
        <v>1149</v>
      </c>
      <c r="C13" s="111">
        <v>0</v>
      </c>
      <c r="E13" s="183"/>
      <c r="F13" s="115"/>
      <c r="G13" s="105"/>
      <c r="H13" s="117"/>
    </row>
    <row r="14" spans="1:8" ht="13.8" thickBot="1" x14ac:dyDescent="0.3">
      <c r="B14" s="106" t="s">
        <v>1117</v>
      </c>
      <c r="C14" s="111">
        <v>0.1</v>
      </c>
      <c r="E14" s="183"/>
      <c r="F14" s="123"/>
      <c r="G14" s="174" t="s">
        <v>1140</v>
      </c>
      <c r="H14" s="116"/>
    </row>
    <row r="15" spans="1:8" ht="13.8" thickBot="1" x14ac:dyDescent="0.3">
      <c r="B15" s="106" t="s">
        <v>1116</v>
      </c>
      <c r="C15" s="111">
        <v>0.1</v>
      </c>
      <c r="E15" s="183"/>
      <c r="F15" s="119"/>
      <c r="G15" s="120"/>
      <c r="H15" s="121"/>
    </row>
    <row r="16" spans="1:8" x14ac:dyDescent="0.25">
      <c r="B16" s="106" t="s">
        <v>1115</v>
      </c>
      <c r="C16" s="112">
        <v>2.4E-2</v>
      </c>
      <c r="E16" s="183"/>
    </row>
    <row r="17" spans="1:10" ht="13.8" thickBot="1" x14ac:dyDescent="0.3">
      <c r="B17" s="106" t="s">
        <v>1154</v>
      </c>
      <c r="C17" s="112">
        <v>1E-14</v>
      </c>
      <c r="E17" s="183"/>
    </row>
    <row r="18" spans="1:10" ht="13.8" thickBot="1" x14ac:dyDescent="0.3">
      <c r="B18" s="106" t="s">
        <v>1155</v>
      </c>
      <c r="C18" s="112">
        <v>0.21</v>
      </c>
      <c r="E18" s="183"/>
      <c r="F18" s="127" t="s">
        <v>1142</v>
      </c>
      <c r="G18" s="128"/>
      <c r="H18" s="357"/>
      <c r="I18" s="358"/>
    </row>
    <row r="19" spans="1:10" ht="13.8" thickBot="1" x14ac:dyDescent="0.3">
      <c r="B19" s="106" t="s">
        <v>1128</v>
      </c>
      <c r="C19" s="329">
        <f>PrecioUnitario(1,Costo_Financiero,Gastos_Generales,Beneficio,Ingresos_Brutos,IVA_Vivienda)</f>
        <v>1.2288000000000121</v>
      </c>
      <c r="E19" s="146"/>
    </row>
    <row r="20" spans="1:10" ht="13.8" thickBot="1" x14ac:dyDescent="0.3">
      <c r="B20" s="106" t="s">
        <v>1129</v>
      </c>
      <c r="C20" s="329">
        <f>PrecioUnitario(1,Costo_Financiero,Gastos_Generales,Beneficio,Ingresos_Brutos,IVA_Infraestructura)</f>
        <v>1.4808000000000001</v>
      </c>
      <c r="E20" s="146"/>
      <c r="F20" s="127" t="s">
        <v>1258</v>
      </c>
      <c r="G20" s="129"/>
    </row>
    <row r="21" spans="1:10" x14ac:dyDescent="0.25">
      <c r="B21" s="104" t="s">
        <v>1134</v>
      </c>
      <c r="C21" s="356">
        <v>0</v>
      </c>
      <c r="E21" s="184"/>
    </row>
    <row r="24" spans="1:10" x14ac:dyDescent="0.25">
      <c r="B24" s="330" t="s">
        <v>1136</v>
      </c>
      <c r="C24" s="331"/>
    </row>
    <row r="25" spans="1:10" ht="15.75" customHeight="1" x14ac:dyDescent="0.25">
      <c r="B25" s="113" t="s">
        <v>1124</v>
      </c>
      <c r="C25" s="113" t="s">
        <v>1488</v>
      </c>
    </row>
    <row r="26" spans="1:10" ht="13.5" customHeight="1" x14ac:dyDescent="0.25">
      <c r="B26" s="113" t="s">
        <v>1125</v>
      </c>
      <c r="C26" s="113" t="s">
        <v>1433</v>
      </c>
    </row>
    <row r="30" spans="1:10" x14ac:dyDescent="0.25">
      <c r="A30" s="75"/>
      <c r="B30" s="336" t="s">
        <v>1153</v>
      </c>
      <c r="C30" s="136"/>
      <c r="D30" s="337"/>
      <c r="E30" s="135"/>
      <c r="F30" s="135"/>
      <c r="G30" s="75"/>
      <c r="H30" s="76"/>
      <c r="I30" s="75"/>
      <c r="J30" s="135"/>
    </row>
    <row r="31" spans="1:10" x14ac:dyDescent="0.25">
      <c r="A31" s="75"/>
      <c r="B31" s="75"/>
      <c r="C31" s="75"/>
      <c r="D31" s="137"/>
      <c r="E31" s="137"/>
      <c r="F31" s="75"/>
      <c r="G31" s="75"/>
      <c r="H31" s="76"/>
      <c r="I31" s="75"/>
      <c r="J31" s="75"/>
    </row>
    <row r="32" spans="1:10" ht="66" x14ac:dyDescent="0.25">
      <c r="A32" s="75"/>
      <c r="B32" s="134" t="s">
        <v>1105</v>
      </c>
      <c r="C32" s="332" t="s">
        <v>0</v>
      </c>
      <c r="D32" s="333" t="s">
        <v>1</v>
      </c>
      <c r="E32" s="177"/>
      <c r="F32" s="132"/>
      <c r="G32" s="332" t="s">
        <v>1150</v>
      </c>
      <c r="H32" s="332"/>
      <c r="I32" s="138"/>
      <c r="J32" s="334" t="s">
        <v>1151</v>
      </c>
    </row>
    <row r="33" spans="1:10" x14ac:dyDescent="0.25">
      <c r="A33" s="75"/>
      <c r="B33" s="134"/>
      <c r="C33" s="332"/>
      <c r="D33" s="333"/>
      <c r="E33" s="177"/>
      <c r="F33" s="132"/>
      <c r="G33" s="134" t="s">
        <v>1152</v>
      </c>
      <c r="H33" s="134" t="s">
        <v>1</v>
      </c>
      <c r="I33" s="139"/>
      <c r="J33" s="335"/>
    </row>
    <row r="34" spans="1:10" x14ac:dyDescent="0.25">
      <c r="A34" s="75"/>
      <c r="B34" s="140"/>
      <c r="C34" s="136"/>
      <c r="D34" s="141"/>
      <c r="E34" s="177"/>
      <c r="F34" s="132"/>
      <c r="G34" s="142"/>
      <c r="H34" s="148"/>
      <c r="I34" s="75"/>
      <c r="J34" s="143"/>
    </row>
    <row r="35" spans="1:10" x14ac:dyDescent="0.25">
      <c r="A35" s="176">
        <f>IF(D35=0,A34,A34+1)</f>
        <v>0</v>
      </c>
      <c r="B35" s="432" t="s">
        <v>1124</v>
      </c>
      <c r="C35" s="113" t="str">
        <f>IFERROR(VLOOKUP(J35,Tabla_Código_Items,2,FALSE),G35)</f>
        <v>DEPARTAMENTOS</v>
      </c>
      <c r="D35" s="148">
        <f>IFERROR(VLOOKUP(J35,Tabla_Código_Items,2,FALSE),H35)</f>
        <v>0</v>
      </c>
      <c r="E35" s="110"/>
      <c r="F35" s="96"/>
      <c r="G35" s="113" t="s">
        <v>1488</v>
      </c>
      <c r="H35" s="113"/>
      <c r="I35" s="137"/>
      <c r="J35" s="144"/>
    </row>
    <row r="36" spans="1:10" x14ac:dyDescent="0.25">
      <c r="A36" s="176">
        <f t="shared" ref="A36:A107" si="0">IF(D36=0,A35,A35+1)</f>
        <v>0</v>
      </c>
      <c r="B36" s="175">
        <v>1</v>
      </c>
      <c r="C36" s="74" t="str">
        <f>IFERROR(VLOOKUP(J36,Tabla_Items,2,FALSE),G36)</f>
        <v xml:space="preserve">TRABAJOS PRELIMINARES </v>
      </c>
      <c r="D36" s="148">
        <f>IFERROR(VLOOKUP(J36,Tabla_Items,2,FALSE),H36)</f>
        <v>0</v>
      </c>
      <c r="E36" s="110"/>
      <c r="F36" s="145"/>
      <c r="G36" s="144" t="s">
        <v>1275</v>
      </c>
      <c r="H36" s="149"/>
      <c r="I36" s="137"/>
      <c r="J36" s="144"/>
    </row>
    <row r="37" spans="1:10" x14ac:dyDescent="0.25">
      <c r="A37" s="176">
        <f t="shared" si="0"/>
        <v>1</v>
      </c>
      <c r="B37" s="175" t="s">
        <v>1281</v>
      </c>
      <c r="C37" s="74" t="str">
        <f>IFERROR(VLOOKUP(J37,Tabla_Items,2,FALSE),G37)</f>
        <v>Limpieza general, incluye desmalezamiento, demolición de construcciones existentes</v>
      </c>
      <c r="D37" s="148" t="str">
        <f>IFERROR(VLOOKUP(J37,Tabla_Items,2,FALSE),H37)</f>
        <v>m2</v>
      </c>
      <c r="E37" s="110"/>
      <c r="F37" s="145"/>
      <c r="G37" s="144" t="s">
        <v>1264</v>
      </c>
      <c r="H37" s="149" t="s">
        <v>5</v>
      </c>
      <c r="I37" s="137"/>
      <c r="J37" s="144"/>
    </row>
    <row r="38" spans="1:10" x14ac:dyDescent="0.25">
      <c r="A38" s="176">
        <f t="shared" si="0"/>
        <v>1</v>
      </c>
      <c r="B38" s="175">
        <v>2</v>
      </c>
      <c r="C38" s="74" t="str">
        <f>IFERROR(VLOOKUP(J38,Tabla_Items,2,FALSE),G38)</f>
        <v>MOVIMIENTO DE SUELOS</v>
      </c>
      <c r="D38" s="148">
        <f>IFERROR(VLOOKUP(J38,Tabla_Items,2,FALSE),H38)</f>
        <v>0</v>
      </c>
      <c r="E38" s="110"/>
      <c r="F38" s="145"/>
      <c r="G38" s="144" t="s">
        <v>1276</v>
      </c>
      <c r="H38" s="149"/>
      <c r="I38" s="137"/>
      <c r="J38" s="144"/>
    </row>
    <row r="39" spans="1:10" x14ac:dyDescent="0.25">
      <c r="A39" s="176">
        <f t="shared" si="0"/>
        <v>2</v>
      </c>
      <c r="B39" s="175" t="s">
        <v>1282</v>
      </c>
      <c r="C39" s="74" t="str">
        <f>IFERROR(VLOOKUP(J39,Tabla_Items,2,FALSE),G39)</f>
        <v>Excavación para fundaciones</v>
      </c>
      <c r="D39" s="148" t="str">
        <f>IFERROR(VLOOKUP(J39,Tabla_Items,2,FALSE),H39)</f>
        <v>m3</v>
      </c>
      <c r="E39" s="110"/>
      <c r="F39" s="145"/>
      <c r="G39" s="144" t="s">
        <v>921</v>
      </c>
      <c r="H39" s="149" t="s">
        <v>4</v>
      </c>
      <c r="I39" s="137"/>
      <c r="J39" s="144"/>
    </row>
    <row r="40" spans="1:10" x14ac:dyDescent="0.25">
      <c r="A40" s="176">
        <f t="shared" si="0"/>
        <v>3</v>
      </c>
      <c r="B40" s="175" t="s">
        <v>1336</v>
      </c>
      <c r="C40" s="74" t="str">
        <f>IFERROR(VLOOKUP(J40,Tabla_Items,2,FALSE),G40)</f>
        <v>Excavacion de Subsuelo</v>
      </c>
      <c r="D40" s="148" t="str">
        <f>IFERROR(VLOOKUP(J40,Tabla_Items,2,FALSE),H40)</f>
        <v>m3</v>
      </c>
      <c r="E40" s="110"/>
      <c r="F40" s="145"/>
      <c r="G40" s="144" t="s">
        <v>1272</v>
      </c>
      <c r="H40" s="149" t="s">
        <v>4</v>
      </c>
      <c r="I40" s="137"/>
      <c r="J40" s="144"/>
    </row>
    <row r="41" spans="1:10" x14ac:dyDescent="0.25">
      <c r="A41" s="176">
        <f t="shared" si="0"/>
        <v>3</v>
      </c>
      <c r="B41" s="175">
        <v>3</v>
      </c>
      <c r="C41" s="74" t="str">
        <f>IFERROR(VLOOKUP(J41,Tabla_Items,2,FALSE),G41)</f>
        <v>FUNDACIONES</v>
      </c>
      <c r="D41" s="148">
        <f>IFERROR(VLOOKUP(J41,Tabla_Items,2,FALSE),H41)</f>
        <v>0</v>
      </c>
      <c r="E41" s="110"/>
      <c r="F41" s="145"/>
      <c r="G41" s="144" t="s">
        <v>1277</v>
      </c>
      <c r="H41" s="149"/>
      <c r="I41" s="137"/>
      <c r="J41" s="144"/>
    </row>
    <row r="42" spans="1:10" x14ac:dyDescent="0.25">
      <c r="A42" s="176">
        <f t="shared" si="0"/>
        <v>4</v>
      </c>
      <c r="B42" s="175" t="s">
        <v>1298</v>
      </c>
      <c r="C42" s="74" t="str">
        <f>IFERROR(VLOOKUP(J42,Tabla_Items,2,FALSE),G42)</f>
        <v>Hº - Bases aisladas y vigas de arriostramiento</v>
      </c>
      <c r="D42" s="148" t="str">
        <f>IFERROR(VLOOKUP(J42,Tabla_Items,2,FALSE),H42)</f>
        <v>m3</v>
      </c>
      <c r="E42" s="110"/>
      <c r="F42" s="145"/>
      <c r="G42" s="144" t="s">
        <v>1278</v>
      </c>
      <c r="H42" s="149" t="s">
        <v>4</v>
      </c>
      <c r="I42" s="137"/>
      <c r="J42" s="144"/>
    </row>
    <row r="43" spans="1:10" x14ac:dyDescent="0.25">
      <c r="A43" s="176">
        <f t="shared" si="0"/>
        <v>5</v>
      </c>
      <c r="B43" s="175" t="s">
        <v>1299</v>
      </c>
      <c r="C43" s="74" t="str">
        <f>IFERROR(VLOOKUP(J43,Tabla_Items,2,FALSE),G43)</f>
        <v>Aº - Bases aisladas y vigas de arriostramiento</v>
      </c>
      <c r="D43" s="148" t="str">
        <f>IFERROR(VLOOKUP(J43,Tabla_Items,2,FALSE),H43)</f>
        <v>kg</v>
      </c>
      <c r="E43" s="110"/>
      <c r="F43" s="145"/>
      <c r="G43" s="144" t="s">
        <v>1279</v>
      </c>
      <c r="H43" s="149" t="s">
        <v>1146</v>
      </c>
      <c r="I43" s="137"/>
      <c r="J43" s="144"/>
    </row>
    <row r="44" spans="1:10" x14ac:dyDescent="0.25">
      <c r="A44" s="176">
        <f t="shared" si="0"/>
        <v>5</v>
      </c>
      <c r="B44" s="175">
        <v>4</v>
      </c>
      <c r="C44" s="74" t="str">
        <f>IFERROR(VLOOKUP(J44,Tabla_Items,2,FALSE),G44)</f>
        <v>ESTRUCTURA RESISTENTE</v>
      </c>
      <c r="D44" s="148">
        <f>IFERROR(VLOOKUP(J44,Tabla_Items,2,FALSE),H44)</f>
        <v>0</v>
      </c>
      <c r="E44" s="110"/>
      <c r="F44" s="145"/>
      <c r="G44" s="144" t="s">
        <v>1280</v>
      </c>
      <c r="H44" s="149"/>
      <c r="I44" s="137"/>
      <c r="J44" s="144"/>
    </row>
    <row r="45" spans="1:10" x14ac:dyDescent="0.25">
      <c r="A45" s="176">
        <f t="shared" si="0"/>
        <v>6</v>
      </c>
      <c r="B45" s="175" t="s">
        <v>1300</v>
      </c>
      <c r="C45" s="74" t="str">
        <f>IFERROR(VLOOKUP(J45,Tabla_Items,2,FALSE),G45)</f>
        <v>Replanteo y niveles</v>
      </c>
      <c r="D45" s="148" t="str">
        <f>IFERROR(VLOOKUP(J45,Tabla_Items,2,FALSE),H45)</f>
        <v>gl</v>
      </c>
      <c r="E45" s="110"/>
      <c r="F45" s="145"/>
      <c r="G45" s="144" t="s">
        <v>1273</v>
      </c>
      <c r="H45" s="149" t="s">
        <v>3</v>
      </c>
      <c r="I45" s="137"/>
      <c r="J45" s="144"/>
    </row>
    <row r="46" spans="1:10" x14ac:dyDescent="0.25">
      <c r="A46" s="176">
        <f t="shared" si="0"/>
        <v>7</v>
      </c>
      <c r="B46" s="175" t="s">
        <v>1301</v>
      </c>
      <c r="C46" s="74" t="str">
        <f>IFERROR(VLOOKUP(J46,Tabla_Items,2,FALSE),G46)</f>
        <v>Hormigon para Losas H-21</v>
      </c>
      <c r="D46" s="148" t="str">
        <f>IFERROR(VLOOKUP(J46,Tabla_Items,2,FALSE),H46)</f>
        <v>m3</v>
      </c>
      <c r="E46" s="110"/>
      <c r="F46" s="145"/>
      <c r="G46" s="144" t="s">
        <v>1518</v>
      </c>
      <c r="H46" s="149" t="s">
        <v>4</v>
      </c>
      <c r="I46" s="137"/>
      <c r="J46" s="144"/>
    </row>
    <row r="47" spans="1:10" x14ac:dyDescent="0.25">
      <c r="A47" s="176">
        <f t="shared" si="0"/>
        <v>8</v>
      </c>
      <c r="B47" s="175" t="s">
        <v>1302</v>
      </c>
      <c r="C47" s="74" t="str">
        <f>IFERROR(VLOOKUP(J47,Tabla_Items,2,FALSE),G47)</f>
        <v>Hormigon resistente H-30</v>
      </c>
      <c r="D47" s="148" t="str">
        <f>IFERROR(VLOOKUP(J47,Tabla_Items,2,FALSE),H47)</f>
        <v>m3</v>
      </c>
      <c r="E47" s="110"/>
      <c r="F47" s="145"/>
      <c r="G47" s="144" t="s">
        <v>1500</v>
      </c>
      <c r="H47" s="149" t="s">
        <v>4</v>
      </c>
      <c r="I47" s="137"/>
      <c r="J47" s="144"/>
    </row>
    <row r="48" spans="1:10" x14ac:dyDescent="0.25">
      <c r="A48" s="176">
        <f t="shared" si="0"/>
        <v>9</v>
      </c>
      <c r="B48" s="175" t="s">
        <v>1303</v>
      </c>
      <c r="C48" s="74" t="str">
        <f t="shared" ref="C48:C73" si="1">IFERROR(VLOOKUP(J48,Tabla_Items,2,FALSE),G48)</f>
        <v>Hormigon para encadenados H-17</v>
      </c>
      <c r="D48" s="148" t="str">
        <f t="shared" ref="D48:D105" si="2">IFERROR(VLOOKUP(J48,Tabla_Items,2,FALSE),H48)</f>
        <v>m3</v>
      </c>
      <c r="E48" s="110"/>
      <c r="F48" s="145"/>
      <c r="G48" s="144" t="s">
        <v>1501</v>
      </c>
      <c r="H48" s="149" t="s">
        <v>4</v>
      </c>
      <c r="I48" s="137"/>
      <c r="J48" s="144"/>
    </row>
    <row r="49" spans="1:10" x14ac:dyDescent="0.25">
      <c r="A49" s="176">
        <f t="shared" si="0"/>
        <v>10</v>
      </c>
      <c r="B49" s="175" t="s">
        <v>1510</v>
      </c>
      <c r="C49" s="74" t="str">
        <f t="shared" ref="C49" si="3">IFERROR(VLOOKUP(J49,Tabla_Items,2,FALSE),G49)</f>
        <v>Hormigon para escaleras exteriores</v>
      </c>
      <c r="D49" s="148" t="str">
        <f t="shared" ref="D49" si="4">IFERROR(VLOOKUP(J49,Tabla_Items,2,FALSE),H49)</f>
        <v>m3</v>
      </c>
      <c r="E49" s="110"/>
      <c r="F49" s="145"/>
      <c r="G49" s="144" t="s">
        <v>1517</v>
      </c>
      <c r="H49" s="149" t="s">
        <v>4</v>
      </c>
      <c r="I49" s="137"/>
      <c r="J49" s="144"/>
    </row>
    <row r="50" spans="1:10" x14ac:dyDescent="0.25">
      <c r="A50" s="176">
        <f t="shared" si="0"/>
        <v>11</v>
      </c>
      <c r="B50" s="175" t="s">
        <v>1511</v>
      </c>
      <c r="C50" s="74" t="str">
        <f t="shared" si="1"/>
        <v>Acero para losas</v>
      </c>
      <c r="D50" s="148" t="str">
        <f t="shared" si="2"/>
        <v>kg</v>
      </c>
      <c r="E50" s="110"/>
      <c r="F50" s="145"/>
      <c r="G50" s="144" t="s">
        <v>1495</v>
      </c>
      <c r="H50" s="149" t="s">
        <v>1146</v>
      </c>
      <c r="I50" s="137"/>
      <c r="J50" s="144"/>
    </row>
    <row r="51" spans="1:10" x14ac:dyDescent="0.25">
      <c r="A51" s="176">
        <f t="shared" si="0"/>
        <v>12</v>
      </c>
      <c r="B51" s="175" t="s">
        <v>1512</v>
      </c>
      <c r="C51" s="74" t="str">
        <f t="shared" ref="C51:C56" si="5">IFERROR(VLOOKUP(J51,Tabla_Items,2,FALSE),G51)</f>
        <v>Acero para vigas</v>
      </c>
      <c r="D51" s="148" t="str">
        <f t="shared" ref="D51:D56" si="6">IFERROR(VLOOKUP(J51,Tabla_Items,2,FALSE),H51)</f>
        <v>kg</v>
      </c>
      <c r="E51" s="110"/>
      <c r="F51" s="145"/>
      <c r="G51" s="144" t="s">
        <v>1496</v>
      </c>
      <c r="H51" s="149" t="s">
        <v>1146</v>
      </c>
      <c r="I51" s="137"/>
      <c r="J51" s="144"/>
    </row>
    <row r="52" spans="1:10" x14ac:dyDescent="0.25">
      <c r="A52" s="176">
        <f t="shared" si="0"/>
        <v>13</v>
      </c>
      <c r="B52" s="175" t="s">
        <v>1513</v>
      </c>
      <c r="C52" s="74" t="str">
        <f t="shared" si="5"/>
        <v>Acero para columnas</v>
      </c>
      <c r="D52" s="148" t="str">
        <f t="shared" si="6"/>
        <v>kg</v>
      </c>
      <c r="E52" s="110"/>
      <c r="F52" s="145"/>
      <c r="G52" s="144" t="s">
        <v>1497</v>
      </c>
      <c r="H52" s="149" t="s">
        <v>1146</v>
      </c>
      <c r="I52" s="137"/>
      <c r="J52" s="144"/>
    </row>
    <row r="53" spans="1:10" x14ac:dyDescent="0.25">
      <c r="A53" s="176">
        <f t="shared" si="0"/>
        <v>14</v>
      </c>
      <c r="B53" s="175" t="s">
        <v>1514</v>
      </c>
      <c r="C53" s="74" t="str">
        <f t="shared" si="5"/>
        <v>Acero para escaleras exteriores</v>
      </c>
      <c r="D53" s="148" t="str">
        <f t="shared" si="6"/>
        <v>kg</v>
      </c>
      <c r="E53" s="110"/>
      <c r="F53" s="145"/>
      <c r="G53" s="144" t="s">
        <v>1498</v>
      </c>
      <c r="H53" s="149" t="s">
        <v>1146</v>
      </c>
      <c r="I53" s="137"/>
      <c r="J53" s="144"/>
    </row>
    <row r="54" spans="1:10" x14ac:dyDescent="0.25">
      <c r="A54" s="176">
        <f t="shared" si="0"/>
        <v>15</v>
      </c>
      <c r="B54" s="175" t="s">
        <v>1515</v>
      </c>
      <c r="C54" s="74" t="str">
        <f t="shared" si="5"/>
        <v>estructura metalica de espacios comunes y chapa exterior</v>
      </c>
      <c r="D54" s="148" t="str">
        <f t="shared" si="6"/>
        <v>kg</v>
      </c>
      <c r="E54" s="110"/>
      <c r="F54" s="145"/>
      <c r="G54" s="144" t="s">
        <v>1499</v>
      </c>
      <c r="H54" s="149" t="s">
        <v>1146</v>
      </c>
      <c r="I54" s="137"/>
      <c r="J54" s="144"/>
    </row>
    <row r="55" spans="1:10" x14ac:dyDescent="0.25">
      <c r="A55" s="176">
        <f t="shared" si="0"/>
        <v>16</v>
      </c>
      <c r="B55" s="175" t="s">
        <v>1516</v>
      </c>
      <c r="C55" s="74" t="str">
        <f t="shared" si="5"/>
        <v>chapa lisa en gabinetes</v>
      </c>
      <c r="D55" s="148" t="str">
        <f t="shared" si="6"/>
        <v>kg</v>
      </c>
      <c r="E55" s="110"/>
      <c r="F55" s="145"/>
      <c r="G55" s="144" t="s">
        <v>1502</v>
      </c>
      <c r="H55" s="149" t="s">
        <v>1146</v>
      </c>
      <c r="I55" s="137"/>
      <c r="J55" s="144"/>
    </row>
    <row r="56" spans="1:10" x14ac:dyDescent="0.25">
      <c r="A56" s="176">
        <f t="shared" si="0"/>
        <v>17</v>
      </c>
      <c r="B56" s="175" t="s">
        <v>1519</v>
      </c>
      <c r="C56" s="74" t="str">
        <f t="shared" si="5"/>
        <v xml:space="preserve">chapa micro perforada </v>
      </c>
      <c r="D56" s="148" t="str">
        <f t="shared" si="6"/>
        <v>kg</v>
      </c>
      <c r="E56" s="110"/>
      <c r="F56" s="145"/>
      <c r="G56" s="144" t="s">
        <v>1509</v>
      </c>
      <c r="H56" s="149" t="s">
        <v>1146</v>
      </c>
      <c r="I56" s="137"/>
      <c r="J56" s="144"/>
    </row>
    <row r="57" spans="1:10" x14ac:dyDescent="0.25">
      <c r="A57" s="176">
        <f t="shared" si="0"/>
        <v>17</v>
      </c>
      <c r="B57" s="175">
        <v>5</v>
      </c>
      <c r="C57" s="74" t="str">
        <f t="shared" si="1"/>
        <v>ALBAÑILERÍA | CERRAMIENTOS VERTICALES</v>
      </c>
      <c r="D57" s="148">
        <f t="shared" si="2"/>
        <v>0</v>
      </c>
      <c r="E57" s="110"/>
      <c r="F57" s="145"/>
      <c r="G57" s="144" t="s">
        <v>1283</v>
      </c>
      <c r="H57" s="149"/>
      <c r="I57" s="137"/>
      <c r="J57" s="144"/>
    </row>
    <row r="58" spans="1:10" x14ac:dyDescent="0.25">
      <c r="A58" s="176">
        <f t="shared" si="0"/>
        <v>18</v>
      </c>
      <c r="B58" s="175" t="s">
        <v>1304</v>
      </c>
      <c r="C58" s="74" t="str">
        <f t="shared" si="1"/>
        <v>Mampostería interior - Tabique Liviano</v>
      </c>
      <c r="D58" s="148" t="str">
        <f t="shared" si="2"/>
        <v>m2</v>
      </c>
      <c r="E58" s="110"/>
      <c r="F58" s="145"/>
      <c r="G58" s="144" t="s">
        <v>1274</v>
      </c>
      <c r="H58" s="149" t="s">
        <v>5</v>
      </c>
      <c r="I58" s="137"/>
      <c r="J58" s="144"/>
    </row>
    <row r="59" spans="1:10" x14ac:dyDescent="0.25">
      <c r="A59" s="176">
        <f t="shared" si="0"/>
        <v>19</v>
      </c>
      <c r="B59" s="175" t="s">
        <v>1305</v>
      </c>
      <c r="C59" s="74" t="str">
        <f t="shared" si="1"/>
        <v>Mampostería exterior -  Muro de ladrillo ceramico hueco</v>
      </c>
      <c r="D59" s="148" t="str">
        <f t="shared" si="2"/>
        <v>m2</v>
      </c>
      <c r="E59" s="110"/>
      <c r="F59" s="145"/>
      <c r="G59" s="144" t="s">
        <v>1284</v>
      </c>
      <c r="H59" s="149" t="s">
        <v>5</v>
      </c>
      <c r="I59" s="137"/>
      <c r="J59" s="144"/>
    </row>
    <row r="60" spans="1:10" x14ac:dyDescent="0.25">
      <c r="A60" s="176">
        <f t="shared" si="0"/>
        <v>19</v>
      </c>
      <c r="B60" s="175">
        <v>6</v>
      </c>
      <c r="C60" s="74" t="str">
        <f>IFERROR(VLOOKUP(J60,Tabla_Items,2,FALSE),G60)</f>
        <v>AISLACIONES Y REVOQUES</v>
      </c>
      <c r="D60" s="148">
        <f t="shared" si="2"/>
        <v>0</v>
      </c>
      <c r="E60" s="110"/>
      <c r="F60" s="145"/>
      <c r="G60" s="144" t="s">
        <v>1285</v>
      </c>
      <c r="H60" s="149"/>
      <c r="I60" s="137"/>
      <c r="J60" s="144"/>
    </row>
    <row r="61" spans="1:10" x14ac:dyDescent="0.25">
      <c r="A61" s="176">
        <f t="shared" si="0"/>
        <v>20</v>
      </c>
      <c r="B61" s="175" t="s">
        <v>1306</v>
      </c>
      <c r="C61" s="74" t="str">
        <f t="shared" si="1"/>
        <v>Aislación hidrófuga horizontal en muros PB (cajón)</v>
      </c>
      <c r="D61" s="148" t="str">
        <f t="shared" si="2"/>
        <v>m2</v>
      </c>
      <c r="E61" s="110"/>
      <c r="F61" s="145"/>
      <c r="G61" s="144" t="s">
        <v>1286</v>
      </c>
      <c r="H61" s="149" t="s">
        <v>5</v>
      </c>
      <c r="I61" s="137"/>
      <c r="J61" s="144"/>
    </row>
    <row r="62" spans="1:10" x14ac:dyDescent="0.25">
      <c r="A62" s="176">
        <f t="shared" si="0"/>
        <v>21</v>
      </c>
      <c r="B62" s="175" t="s">
        <v>1307</v>
      </c>
      <c r="C62" s="74" t="str">
        <f t="shared" si="1"/>
        <v>Revoque grueso bajo revestimiento en locales húmedos</v>
      </c>
      <c r="D62" s="148" t="str">
        <f t="shared" si="2"/>
        <v>m2</v>
      </c>
      <c r="E62" s="110"/>
      <c r="F62" s="145"/>
      <c r="G62" s="144" t="s">
        <v>1287</v>
      </c>
      <c r="H62" s="149" t="s">
        <v>5</v>
      </c>
      <c r="I62" s="137"/>
      <c r="J62" s="144"/>
    </row>
    <row r="63" spans="1:10" x14ac:dyDescent="0.25">
      <c r="A63" s="176">
        <f t="shared" si="0"/>
        <v>22</v>
      </c>
      <c r="B63" s="175" t="s">
        <v>1308</v>
      </c>
      <c r="C63" s="74" t="str">
        <f t="shared" ref="C63" si="7">IFERROR(VLOOKUP(J63,Tabla_Items,2,FALSE),G63)</f>
        <v xml:space="preserve">Revoque  y enlucido interior </v>
      </c>
      <c r="D63" s="148" t="str">
        <f t="shared" ref="D63" si="8">IFERROR(VLOOKUP(J63,Tabla_Items,2,FALSE),H63)</f>
        <v>m2</v>
      </c>
      <c r="E63" s="110"/>
      <c r="F63" s="145"/>
      <c r="G63" s="144" t="s">
        <v>1288</v>
      </c>
      <c r="H63" s="149" t="s">
        <v>5</v>
      </c>
      <c r="I63" s="137"/>
      <c r="J63" s="144"/>
    </row>
    <row r="64" spans="1:10" x14ac:dyDescent="0.25">
      <c r="A64" s="176">
        <f t="shared" si="0"/>
        <v>23</v>
      </c>
      <c r="B64" s="175" t="s">
        <v>1309</v>
      </c>
      <c r="C64" s="74" t="str">
        <f>IFERROR(VLOOKUP(J64,Tabla_Items,2,FALSE),G64)</f>
        <v>Revoque exterior</v>
      </c>
      <c r="D64" s="148" t="str">
        <f t="shared" ref="D64" si="9">IFERROR(VLOOKUP(J64,Tabla_Items,2,FALSE),H64)</f>
        <v>m2</v>
      </c>
      <c r="E64" s="110"/>
      <c r="F64" s="145"/>
      <c r="G64" s="144" t="s">
        <v>1289</v>
      </c>
      <c r="H64" s="149" t="s">
        <v>5</v>
      </c>
      <c r="I64" s="137"/>
      <c r="J64" s="144"/>
    </row>
    <row r="65" spans="1:10" x14ac:dyDescent="0.25">
      <c r="A65" s="176">
        <f t="shared" si="0"/>
        <v>23</v>
      </c>
      <c r="B65" s="175">
        <v>7</v>
      </c>
      <c r="C65" s="74" t="str">
        <f t="shared" si="1"/>
        <v>REVESTIMIENTOS</v>
      </c>
      <c r="D65" s="148">
        <f t="shared" si="2"/>
        <v>0</v>
      </c>
      <c r="E65" s="110"/>
      <c r="F65" s="145"/>
      <c r="G65" s="144" t="s">
        <v>6</v>
      </c>
      <c r="H65" s="149"/>
      <c r="I65" s="137"/>
      <c r="J65" s="144"/>
    </row>
    <row r="66" spans="1:10" x14ac:dyDescent="0.25">
      <c r="A66" s="176">
        <f t="shared" si="0"/>
        <v>24</v>
      </c>
      <c r="B66" s="175" t="s">
        <v>1310</v>
      </c>
      <c r="C66" s="74" t="str">
        <f t="shared" si="1"/>
        <v>Cerámico Cocina y baño</v>
      </c>
      <c r="D66" s="148" t="str">
        <f t="shared" si="2"/>
        <v>m2</v>
      </c>
      <c r="E66" s="110"/>
      <c r="F66" s="145"/>
      <c r="G66" s="144" t="s">
        <v>1290</v>
      </c>
      <c r="H66" s="149" t="s">
        <v>5</v>
      </c>
      <c r="I66" s="137"/>
      <c r="J66" s="144"/>
    </row>
    <row r="67" spans="1:10" x14ac:dyDescent="0.25">
      <c r="A67" s="176">
        <f t="shared" si="0"/>
        <v>24</v>
      </c>
      <c r="B67" s="175">
        <v>8</v>
      </c>
      <c r="C67" s="74" t="str">
        <f t="shared" si="1"/>
        <v>PINTURA</v>
      </c>
      <c r="D67" s="148">
        <f t="shared" si="2"/>
        <v>0</v>
      </c>
      <c r="E67" s="110"/>
      <c r="F67" s="145"/>
      <c r="G67" s="144" t="s">
        <v>1291</v>
      </c>
      <c r="H67" s="149"/>
      <c r="I67" s="137"/>
      <c r="J67" s="144"/>
    </row>
    <row r="68" spans="1:10" x14ac:dyDescent="0.25">
      <c r="A68" s="176">
        <f t="shared" si="0"/>
        <v>25</v>
      </c>
      <c r="B68" s="175" t="s">
        <v>1311</v>
      </c>
      <c r="C68" s="74" t="str">
        <f t="shared" si="1"/>
        <v>Pintura al látex en muros</v>
      </c>
      <c r="D68" s="148" t="str">
        <f t="shared" si="2"/>
        <v>m2</v>
      </c>
      <c r="E68" s="110"/>
      <c r="F68" s="145"/>
      <c r="G68" s="144" t="s">
        <v>1293</v>
      </c>
      <c r="H68" s="149" t="s">
        <v>5</v>
      </c>
      <c r="I68" s="137"/>
      <c r="J68" s="144"/>
    </row>
    <row r="69" spans="1:10" x14ac:dyDescent="0.25">
      <c r="A69" s="176">
        <f t="shared" si="0"/>
        <v>26</v>
      </c>
      <c r="B69" s="175" t="s">
        <v>1312</v>
      </c>
      <c r="C69" s="74" t="str">
        <f t="shared" si="1"/>
        <v>Pintura al látex en cielorrasos</v>
      </c>
      <c r="D69" s="148" t="str">
        <f t="shared" si="2"/>
        <v>m2</v>
      </c>
      <c r="E69" s="110"/>
      <c r="F69" s="145"/>
      <c r="G69" s="144" t="s">
        <v>1294</v>
      </c>
      <c r="H69" s="149" t="s">
        <v>5</v>
      </c>
      <c r="I69" s="137"/>
      <c r="J69" s="144"/>
    </row>
    <row r="70" spans="1:10" x14ac:dyDescent="0.25">
      <c r="A70" s="176">
        <f t="shared" si="0"/>
        <v>27</v>
      </c>
      <c r="B70" s="175" t="s">
        <v>1313</v>
      </c>
      <c r="C70" s="74" t="str">
        <f t="shared" si="1"/>
        <v xml:space="preserve">Pintura látex antihongos                                                                                                                                                                   </v>
      </c>
      <c r="D70" s="148" t="str">
        <f t="shared" si="2"/>
        <v>m2</v>
      </c>
      <c r="E70" s="110"/>
      <c r="F70" s="145"/>
      <c r="G70" s="144" t="s">
        <v>1292</v>
      </c>
      <c r="H70" s="149" t="s">
        <v>5</v>
      </c>
      <c r="I70" s="137"/>
      <c r="J70" s="144"/>
    </row>
    <row r="71" spans="1:10" x14ac:dyDescent="0.25">
      <c r="A71" s="176">
        <f t="shared" si="0"/>
        <v>28</v>
      </c>
      <c r="B71" s="175" t="s">
        <v>1314</v>
      </c>
      <c r="C71" s="74" t="str">
        <f t="shared" si="1"/>
        <v>Pintura al látex exterioren muros</v>
      </c>
      <c r="D71" s="148" t="str">
        <f t="shared" si="2"/>
        <v>m2</v>
      </c>
      <c r="E71" s="110"/>
      <c r="F71" s="145"/>
      <c r="G71" s="144" t="s">
        <v>1295</v>
      </c>
      <c r="H71" s="149" t="s">
        <v>5</v>
      </c>
      <c r="I71" s="137"/>
      <c r="J71" s="144"/>
    </row>
    <row r="72" spans="1:10" x14ac:dyDescent="0.25">
      <c r="A72" s="176">
        <f t="shared" si="0"/>
        <v>29</v>
      </c>
      <c r="B72" s="175" t="s">
        <v>1315</v>
      </c>
      <c r="C72" s="74" t="str">
        <f t="shared" ref="C72" si="10">IFERROR(VLOOKUP(J72,Tabla_Items,2,FALSE),G72)</f>
        <v>Pintura esmalte sintético carpinterías de chapa</v>
      </c>
      <c r="D72" s="148" t="str">
        <f t="shared" ref="D72" si="11">IFERROR(VLOOKUP(J72,Tabla_Items,2,FALSE),H72)</f>
        <v>gl</v>
      </c>
      <c r="E72" s="110"/>
      <c r="F72" s="145"/>
      <c r="G72" s="144" t="s">
        <v>1296</v>
      </c>
      <c r="H72" s="149" t="s">
        <v>3</v>
      </c>
      <c r="I72" s="137"/>
      <c r="J72" s="144"/>
    </row>
    <row r="73" spans="1:10" x14ac:dyDescent="0.25">
      <c r="A73" s="176">
        <f t="shared" si="0"/>
        <v>30</v>
      </c>
      <c r="B73" s="175" t="s">
        <v>1316</v>
      </c>
      <c r="C73" s="74" t="str">
        <f t="shared" si="1"/>
        <v>Pintura esmalte sintético carpinterías de madera</v>
      </c>
      <c r="D73" s="148" t="str">
        <f t="shared" si="2"/>
        <v>gl</v>
      </c>
      <c r="E73" s="110"/>
      <c r="F73" s="145"/>
      <c r="G73" s="144" t="s">
        <v>1297</v>
      </c>
      <c r="H73" s="149" t="s">
        <v>3</v>
      </c>
      <c r="I73" s="137"/>
      <c r="J73" s="144"/>
    </row>
    <row r="74" spans="1:10" x14ac:dyDescent="0.25">
      <c r="A74" s="176">
        <f t="shared" si="0"/>
        <v>30</v>
      </c>
      <c r="B74" s="175">
        <v>9</v>
      </c>
      <c r="C74" s="74" t="str">
        <f t="shared" ref="C74" si="12">IFERROR(VLOOKUP(J74,Tabla_Items,2,FALSE),G74)</f>
        <v>CONTRAPISOS y CARPETAS</v>
      </c>
      <c r="D74" s="148">
        <f t="shared" ref="D74" si="13">IFERROR(VLOOKUP(J74,Tabla_Items,2,FALSE),H74)</f>
        <v>0</v>
      </c>
      <c r="E74" s="110"/>
      <c r="F74" s="145"/>
      <c r="G74" s="144" t="s">
        <v>1320</v>
      </c>
      <c r="H74" s="149"/>
      <c r="I74" s="137"/>
      <c r="J74" s="144"/>
    </row>
    <row r="75" spans="1:10" x14ac:dyDescent="0.25">
      <c r="A75" s="176">
        <f t="shared" si="0"/>
        <v>31</v>
      </c>
      <c r="B75" s="175" t="s">
        <v>1328</v>
      </c>
      <c r="C75" s="74" t="str">
        <f t="shared" ref="C75" si="14">IFERROR(VLOOKUP(J75,Tabla_Items,2,FALSE),G75)</f>
        <v xml:space="preserve">Contrapiso sobre losa de HºPº esp= 8cm </v>
      </c>
      <c r="D75" s="148" t="str">
        <f t="shared" ref="D75" si="15">IFERROR(VLOOKUP(J75,Tabla_Items,2,FALSE),H75)</f>
        <v>m2</v>
      </c>
      <c r="E75" s="110"/>
      <c r="F75" s="145"/>
      <c r="G75" s="144" t="s">
        <v>1317</v>
      </c>
      <c r="H75" s="149" t="s">
        <v>5</v>
      </c>
      <c r="I75" s="137"/>
      <c r="J75" s="144"/>
    </row>
    <row r="76" spans="1:10" x14ac:dyDescent="0.25">
      <c r="A76" s="176">
        <f t="shared" si="0"/>
        <v>32</v>
      </c>
      <c r="B76" s="175" t="s">
        <v>1329</v>
      </c>
      <c r="C76" s="74" t="str">
        <f t="shared" ref="C76" si="16">IFERROR(VLOOKUP(J76,Tabla_Items,2,FALSE),G76)</f>
        <v>Contrapiso para terrazas o azoteas con pendiente según documentación de Proyecto</v>
      </c>
      <c r="D76" s="148" t="str">
        <f t="shared" ref="D76" si="17">IFERROR(VLOOKUP(J76,Tabla_Items,2,FALSE),H76)</f>
        <v>m2</v>
      </c>
      <c r="E76" s="110"/>
      <c r="F76" s="145"/>
      <c r="G76" s="144" t="s">
        <v>1318</v>
      </c>
      <c r="H76" s="149" t="s">
        <v>5</v>
      </c>
      <c r="I76" s="137"/>
      <c r="J76" s="144"/>
    </row>
    <row r="77" spans="1:10" x14ac:dyDescent="0.25">
      <c r="A77" s="176">
        <f t="shared" si="0"/>
        <v>33</v>
      </c>
      <c r="B77" s="175" t="s">
        <v>1330</v>
      </c>
      <c r="C77" s="74" t="str">
        <f>IFERROR(VLOOKUP(J77,Tabla_Items,2,FALSE),G77)</f>
        <v>Banquina bajo mueble de cocina</v>
      </c>
      <c r="D77" s="148" t="str">
        <f t="shared" si="2"/>
        <v>m2</v>
      </c>
      <c r="E77" s="110"/>
      <c r="F77" s="145"/>
      <c r="G77" s="144" t="s">
        <v>1319</v>
      </c>
      <c r="H77" s="149" t="s">
        <v>5</v>
      </c>
      <c r="I77" s="137"/>
      <c r="J77" s="144"/>
    </row>
    <row r="78" spans="1:10" x14ac:dyDescent="0.25">
      <c r="A78" s="176">
        <f t="shared" si="0"/>
        <v>34</v>
      </c>
      <c r="B78" s="175" t="s">
        <v>1331</v>
      </c>
      <c r="C78" s="74" t="str">
        <f>IFERROR(VLOOKUP(J78,Tabla_Items,2,FALSE),G78)</f>
        <v xml:space="preserve">Carpeta bajo ceramico </v>
      </c>
      <c r="D78" s="148" t="str">
        <f t="shared" ref="D78" si="18">IFERROR(VLOOKUP(J78,Tabla_Items,2,FALSE),H78)</f>
        <v>m2</v>
      </c>
      <c r="E78" s="110"/>
      <c r="F78" s="145"/>
      <c r="G78" s="144" t="s">
        <v>1321</v>
      </c>
      <c r="H78" s="149" t="s">
        <v>5</v>
      </c>
      <c r="I78" s="137"/>
      <c r="J78" s="144"/>
    </row>
    <row r="79" spans="1:10" x14ac:dyDescent="0.25">
      <c r="A79" s="176">
        <f t="shared" si="0"/>
        <v>34</v>
      </c>
      <c r="B79" s="175">
        <v>10</v>
      </c>
      <c r="C79" s="74" t="str">
        <f t="shared" ref="C79:C113" si="19">IFERROR(VLOOKUP(J79,Tabla_Items,2,FALSE),G79)</f>
        <v xml:space="preserve">PISOS Y ZOCALOS </v>
      </c>
      <c r="D79" s="148">
        <f t="shared" si="2"/>
        <v>0</v>
      </c>
      <c r="E79" s="110"/>
      <c r="F79" s="145"/>
      <c r="G79" s="144" t="s">
        <v>1322</v>
      </c>
      <c r="H79" s="452"/>
      <c r="I79" s="137"/>
      <c r="J79" s="144"/>
    </row>
    <row r="80" spans="1:10" x14ac:dyDescent="0.25">
      <c r="A80" s="176">
        <f t="shared" si="0"/>
        <v>35</v>
      </c>
      <c r="B80" s="175" t="s">
        <v>1332</v>
      </c>
      <c r="C80" s="74" t="str">
        <f t="shared" si="19"/>
        <v>Piso ceramico de primera calidad</v>
      </c>
      <c r="D80" s="148" t="str">
        <f t="shared" si="2"/>
        <v>m2</v>
      </c>
      <c r="E80" s="110"/>
      <c r="F80" s="145"/>
      <c r="G80" s="144" t="s">
        <v>1323</v>
      </c>
      <c r="H80" s="149" t="s">
        <v>5</v>
      </c>
      <c r="I80" s="137"/>
      <c r="J80" s="144"/>
    </row>
    <row r="81" spans="1:10" x14ac:dyDescent="0.25">
      <c r="A81" s="176">
        <f t="shared" si="0"/>
        <v>36</v>
      </c>
      <c r="B81" s="175" t="s">
        <v>1333</v>
      </c>
      <c r="C81" s="74" t="str">
        <f t="shared" si="19"/>
        <v>Zocalo ceramico</v>
      </c>
      <c r="D81" s="148" t="str">
        <f t="shared" si="2"/>
        <v>ml</v>
      </c>
      <c r="E81" s="110"/>
      <c r="F81" s="145"/>
      <c r="G81" s="144" t="s">
        <v>1324</v>
      </c>
      <c r="H81" s="149" t="s">
        <v>724</v>
      </c>
      <c r="I81" s="137"/>
      <c r="J81" s="144"/>
    </row>
    <row r="82" spans="1:10" x14ac:dyDescent="0.25">
      <c r="A82" s="176">
        <f t="shared" si="0"/>
        <v>36</v>
      </c>
      <c r="B82" s="175">
        <v>11</v>
      </c>
      <c r="C82" s="74" t="str">
        <f t="shared" si="19"/>
        <v xml:space="preserve">CIELORRASOS  </v>
      </c>
      <c r="D82" s="148">
        <f t="shared" si="2"/>
        <v>0</v>
      </c>
      <c r="E82" s="110"/>
      <c r="F82" s="145"/>
      <c r="G82" s="144" t="s">
        <v>1325</v>
      </c>
      <c r="H82" s="149"/>
      <c r="I82" s="137"/>
      <c r="J82" s="144"/>
    </row>
    <row r="83" spans="1:10" x14ac:dyDescent="0.25">
      <c r="A83" s="176">
        <f t="shared" si="0"/>
        <v>37</v>
      </c>
      <c r="B83" s="175" t="s">
        <v>1334</v>
      </c>
      <c r="C83" s="74" t="str">
        <f t="shared" si="19"/>
        <v>Cielorraso aplicado enlucido de yeso</v>
      </c>
      <c r="D83" s="148" t="str">
        <f t="shared" si="2"/>
        <v>m2</v>
      </c>
      <c r="E83" s="110"/>
      <c r="F83" s="145"/>
      <c r="G83" s="144" t="s">
        <v>1326</v>
      </c>
      <c r="H83" s="149" t="s">
        <v>5</v>
      </c>
      <c r="I83" s="137"/>
      <c r="J83" s="144"/>
    </row>
    <row r="84" spans="1:10" x14ac:dyDescent="0.25">
      <c r="A84" s="176">
        <f t="shared" si="0"/>
        <v>38</v>
      </c>
      <c r="B84" s="175" t="s">
        <v>1335</v>
      </c>
      <c r="C84" s="74" t="str">
        <f t="shared" si="19"/>
        <v>Suspendidos de placa de roca de yeso resistente a la humedad ( con proteccion acustica)</v>
      </c>
      <c r="D84" s="148" t="str">
        <f t="shared" si="2"/>
        <v>m2</v>
      </c>
      <c r="E84" s="110"/>
      <c r="F84" s="145"/>
      <c r="G84" s="144" t="s">
        <v>1327</v>
      </c>
      <c r="H84" s="149" t="s">
        <v>5</v>
      </c>
      <c r="I84" s="137"/>
      <c r="J84" s="144"/>
    </row>
    <row r="85" spans="1:10" x14ac:dyDescent="0.25">
      <c r="A85" s="176">
        <f>IF(D85=0,A84,A84+1)</f>
        <v>38</v>
      </c>
      <c r="B85" s="175">
        <v>12</v>
      </c>
      <c r="C85" s="74" t="str">
        <f>IFERROR(VLOOKUP(J85,Tabla_Items,2,FALSE),G85)</f>
        <v xml:space="preserve">CUBIERTA </v>
      </c>
      <c r="D85" s="148">
        <f t="shared" si="2"/>
        <v>0</v>
      </c>
      <c r="E85" s="110"/>
      <c r="F85" s="145"/>
      <c r="G85" s="144" t="s">
        <v>1337</v>
      </c>
      <c r="H85" s="149"/>
      <c r="I85" s="137"/>
      <c r="J85" s="144"/>
    </row>
    <row r="86" spans="1:10" x14ac:dyDescent="0.25">
      <c r="A86" s="176">
        <f t="shared" si="0"/>
        <v>39</v>
      </c>
      <c r="B86" s="175" t="s">
        <v>1386</v>
      </c>
      <c r="C86" s="74" t="str">
        <f t="shared" si="19"/>
        <v>Hormigón Liviano con Pendiente | esp min 5 cm</v>
      </c>
      <c r="D86" s="148" t="str">
        <f t="shared" si="2"/>
        <v>m2</v>
      </c>
      <c r="E86" s="110"/>
      <c r="F86" s="145"/>
      <c r="G86" s="144" t="s">
        <v>1338</v>
      </c>
      <c r="H86" s="149" t="s">
        <v>5</v>
      </c>
      <c r="I86" s="137"/>
      <c r="J86" s="144"/>
    </row>
    <row r="87" spans="1:10" x14ac:dyDescent="0.25">
      <c r="A87" s="176">
        <f t="shared" si="0"/>
        <v>40</v>
      </c>
      <c r="B87" s="175" t="s">
        <v>1387</v>
      </c>
      <c r="C87" s="74" t="str">
        <f t="shared" si="19"/>
        <v>Pintura asfáltica para imprimación de membrana</v>
      </c>
      <c r="D87" s="148" t="str">
        <f t="shared" si="2"/>
        <v>m2</v>
      </c>
      <c r="E87" s="110"/>
      <c r="F87" s="145"/>
      <c r="G87" s="144" t="s">
        <v>1339</v>
      </c>
      <c r="H87" s="149" t="s">
        <v>5</v>
      </c>
      <c r="I87" s="137"/>
      <c r="J87" s="144"/>
    </row>
    <row r="88" spans="1:10" x14ac:dyDescent="0.25">
      <c r="A88" s="176">
        <f t="shared" si="0"/>
        <v>41</v>
      </c>
      <c r="B88" s="175" t="s">
        <v>1388</v>
      </c>
      <c r="C88" s="74" t="str">
        <f t="shared" si="19"/>
        <v>Membrana Asfáltica 4mm terminación aluminio gofrado de 40 micrones</v>
      </c>
      <c r="D88" s="148" t="str">
        <f t="shared" si="2"/>
        <v>m2</v>
      </c>
      <c r="E88" s="110"/>
      <c r="F88" s="145"/>
      <c r="G88" s="144" t="s">
        <v>1340</v>
      </c>
      <c r="H88" s="149" t="s">
        <v>5</v>
      </c>
      <c r="I88" s="137"/>
      <c r="J88" s="144"/>
    </row>
    <row r="89" spans="1:10" x14ac:dyDescent="0.25">
      <c r="A89" s="176">
        <f t="shared" si="0"/>
        <v>41</v>
      </c>
      <c r="B89" s="175">
        <v>13</v>
      </c>
      <c r="C89" s="74" t="str">
        <f t="shared" si="19"/>
        <v>CARPINTERIAS</v>
      </c>
      <c r="D89" s="148">
        <f t="shared" si="2"/>
        <v>0</v>
      </c>
      <c r="E89" s="110"/>
      <c r="F89" s="145"/>
      <c r="G89" s="144" t="s">
        <v>1037</v>
      </c>
      <c r="H89" s="149"/>
      <c r="I89" s="137"/>
      <c r="J89" s="144"/>
    </row>
    <row r="90" spans="1:10" x14ac:dyDescent="0.25">
      <c r="A90" s="176">
        <f t="shared" si="0"/>
        <v>42</v>
      </c>
      <c r="B90" s="175" t="s">
        <v>1389</v>
      </c>
      <c r="C90" s="74" t="str">
        <f t="shared" si="19"/>
        <v>Carpinterías interiores de madera</v>
      </c>
      <c r="D90" s="148" t="str">
        <f t="shared" si="2"/>
        <v>u</v>
      </c>
      <c r="E90" s="110"/>
      <c r="F90" s="145"/>
      <c r="G90" s="144" t="s">
        <v>1341</v>
      </c>
      <c r="H90" s="149" t="s">
        <v>1143</v>
      </c>
      <c r="I90" s="137"/>
      <c r="J90" s="144"/>
    </row>
    <row r="91" spans="1:10" x14ac:dyDescent="0.25">
      <c r="A91" s="176">
        <f t="shared" si="0"/>
        <v>43</v>
      </c>
      <c r="B91" s="175" t="s">
        <v>1390</v>
      </c>
      <c r="C91" s="74" t="str">
        <f t="shared" si="19"/>
        <v>Puerta de ingreso a vivienda (2.05 x 0.9)</v>
      </c>
      <c r="D91" s="148" t="str">
        <f t="shared" si="2"/>
        <v>u</v>
      </c>
      <c r="E91" s="110"/>
      <c r="F91" s="145"/>
      <c r="G91" s="144" t="s">
        <v>1342</v>
      </c>
      <c r="H91" s="149" t="s">
        <v>1143</v>
      </c>
      <c r="I91" s="137"/>
      <c r="J91" s="144"/>
    </row>
    <row r="92" spans="1:10" x14ac:dyDescent="0.25">
      <c r="A92" s="176">
        <f t="shared" si="0"/>
        <v>44</v>
      </c>
      <c r="B92" s="175" t="s">
        <v>1391</v>
      </c>
      <c r="C92" s="74" t="str">
        <f t="shared" si="19"/>
        <v>Ventanas Tipo C02(2,40 x 1,55)</v>
      </c>
      <c r="D92" s="148" t="str">
        <f t="shared" si="2"/>
        <v>u</v>
      </c>
      <c r="E92" s="110"/>
      <c r="F92" s="145"/>
      <c r="G92" s="144" t="s">
        <v>1489</v>
      </c>
      <c r="H92" s="149" t="s">
        <v>1143</v>
      </c>
      <c r="I92" s="137"/>
      <c r="J92" s="144"/>
    </row>
    <row r="93" spans="1:10" x14ac:dyDescent="0.25">
      <c r="A93" s="176">
        <f t="shared" si="0"/>
        <v>45</v>
      </c>
      <c r="B93" s="175" t="s">
        <v>1392</v>
      </c>
      <c r="C93" s="74" t="str">
        <f t="shared" si="19"/>
        <v>Ventanas Tipo C05 (1,20 x 1,55)</v>
      </c>
      <c r="D93" s="148" t="str">
        <f t="shared" si="2"/>
        <v>u</v>
      </c>
      <c r="E93" s="110"/>
      <c r="F93" s="145"/>
      <c r="G93" s="144" t="s">
        <v>1490</v>
      </c>
      <c r="H93" s="149" t="s">
        <v>1143</v>
      </c>
      <c r="I93" s="137"/>
      <c r="J93" s="144"/>
    </row>
    <row r="94" spans="1:10" x14ac:dyDescent="0.25">
      <c r="A94" s="176">
        <f t="shared" si="0"/>
        <v>45</v>
      </c>
      <c r="B94" s="175">
        <v>14</v>
      </c>
      <c r="C94" s="74" t="str">
        <f t="shared" si="19"/>
        <v>MARMOLERÍA</v>
      </c>
      <c r="D94" s="148">
        <f t="shared" si="2"/>
        <v>0</v>
      </c>
      <c r="E94" s="110"/>
      <c r="F94" s="145"/>
      <c r="G94" s="144" t="s">
        <v>1343</v>
      </c>
      <c r="H94" s="149"/>
      <c r="I94" s="137"/>
      <c r="J94" s="144"/>
    </row>
    <row r="95" spans="1:10" x14ac:dyDescent="0.25">
      <c r="A95" s="176">
        <f t="shared" si="0"/>
        <v>46</v>
      </c>
      <c r="B95" s="175" t="s">
        <v>1393</v>
      </c>
      <c r="C95" s="74" t="str">
        <f t="shared" si="19"/>
        <v>Mesada de cocina en granito</v>
      </c>
      <c r="D95" s="148" t="str">
        <f t="shared" si="2"/>
        <v>m2</v>
      </c>
      <c r="E95" s="110"/>
      <c r="F95" s="145"/>
      <c r="G95" s="144" t="s">
        <v>1344</v>
      </c>
      <c r="H95" s="149" t="s">
        <v>5</v>
      </c>
      <c r="I95" s="137"/>
      <c r="J95" s="144"/>
    </row>
    <row r="96" spans="1:10" x14ac:dyDescent="0.25">
      <c r="A96" s="176">
        <f t="shared" si="0"/>
        <v>46</v>
      </c>
      <c r="B96" s="175">
        <v>15</v>
      </c>
      <c r="C96" s="74" t="str">
        <f t="shared" si="19"/>
        <v>INSTALACIÓN ELÉCTRICA</v>
      </c>
      <c r="D96" s="148">
        <f t="shared" si="2"/>
        <v>0</v>
      </c>
      <c r="E96" s="110"/>
      <c r="F96" s="145"/>
      <c r="G96" s="144" t="s">
        <v>1345</v>
      </c>
      <c r="H96" s="149"/>
      <c r="I96" s="137"/>
      <c r="J96" s="144"/>
    </row>
    <row r="97" spans="1:10" x14ac:dyDescent="0.25">
      <c r="A97" s="176">
        <f t="shared" si="0"/>
        <v>47</v>
      </c>
      <c r="B97" s="175" t="s">
        <v>1394</v>
      </c>
      <c r="C97" s="74" t="str">
        <f t="shared" si="19"/>
        <v>Instalación eléctrica</v>
      </c>
      <c r="D97" s="148" t="str">
        <f t="shared" si="2"/>
        <v>gl</v>
      </c>
      <c r="E97" s="110"/>
      <c r="F97" s="145"/>
      <c r="G97" s="144" t="s">
        <v>342</v>
      </c>
      <c r="H97" s="149" t="s">
        <v>3</v>
      </c>
      <c r="I97" s="137"/>
      <c r="J97" s="144"/>
    </row>
    <row r="98" spans="1:10" x14ac:dyDescent="0.25">
      <c r="A98" s="176">
        <f t="shared" si="0"/>
        <v>48</v>
      </c>
      <c r="B98" s="175" t="s">
        <v>1395</v>
      </c>
      <c r="C98" s="74" t="str">
        <f t="shared" si="19"/>
        <v>Tablero principal</v>
      </c>
      <c r="D98" s="148" t="str">
        <f t="shared" si="2"/>
        <v>gl</v>
      </c>
      <c r="E98" s="110"/>
      <c r="F98" s="145"/>
      <c r="G98" s="144" t="s">
        <v>1346</v>
      </c>
      <c r="H98" s="149" t="s">
        <v>3</v>
      </c>
      <c r="I98" s="137"/>
      <c r="J98" s="144"/>
    </row>
    <row r="99" spans="1:10" x14ac:dyDescent="0.25">
      <c r="A99" s="176">
        <f t="shared" si="0"/>
        <v>49</v>
      </c>
      <c r="B99" s="175" t="s">
        <v>1396</v>
      </c>
      <c r="C99" s="74" t="str">
        <f t="shared" si="19"/>
        <v>Tablero secundarios</v>
      </c>
      <c r="D99" s="148" t="str">
        <f t="shared" si="2"/>
        <v>gl</v>
      </c>
      <c r="E99" s="110"/>
      <c r="F99" s="145"/>
      <c r="G99" s="144" t="s">
        <v>1347</v>
      </c>
      <c r="H99" s="149" t="s">
        <v>3</v>
      </c>
      <c r="I99" s="137"/>
      <c r="J99" s="144"/>
    </row>
    <row r="100" spans="1:10" x14ac:dyDescent="0.25">
      <c r="A100" s="176">
        <f t="shared" si="0"/>
        <v>50</v>
      </c>
      <c r="B100" s="175" t="s">
        <v>1397</v>
      </c>
      <c r="C100" s="74" t="str">
        <f t="shared" si="19"/>
        <v>Bocas iluminación UF</v>
      </c>
      <c r="D100" s="148" t="str">
        <f t="shared" si="2"/>
        <v>gl</v>
      </c>
      <c r="E100" s="110"/>
      <c r="F100" s="145"/>
      <c r="G100" s="144" t="s">
        <v>1348</v>
      </c>
      <c r="H100" s="149" t="s">
        <v>3</v>
      </c>
      <c r="I100" s="137"/>
      <c r="J100" s="144"/>
    </row>
    <row r="101" spans="1:10" x14ac:dyDescent="0.25">
      <c r="A101" s="176">
        <f t="shared" si="0"/>
        <v>51</v>
      </c>
      <c r="B101" s="175" t="s">
        <v>1398</v>
      </c>
      <c r="C101" s="74" t="str">
        <f t="shared" si="19"/>
        <v>Bocas iluminación Uc</v>
      </c>
      <c r="D101" s="148" t="str">
        <f t="shared" si="2"/>
        <v>gl</v>
      </c>
      <c r="E101" s="110"/>
      <c r="F101" s="145"/>
      <c r="G101" s="144" t="s">
        <v>1349</v>
      </c>
      <c r="H101" s="149" t="s">
        <v>3</v>
      </c>
      <c r="I101" s="137"/>
      <c r="J101" s="144"/>
    </row>
    <row r="102" spans="1:10" x14ac:dyDescent="0.25">
      <c r="A102" s="176">
        <f t="shared" si="0"/>
        <v>52</v>
      </c>
      <c r="B102" s="175" t="s">
        <v>1399</v>
      </c>
      <c r="C102" s="74" t="str">
        <f t="shared" si="19"/>
        <v>Boca toma corriente uso común</v>
      </c>
      <c r="D102" s="148" t="str">
        <f t="shared" si="2"/>
        <v>gl</v>
      </c>
      <c r="E102" s="110"/>
      <c r="F102" s="145"/>
      <c r="G102" s="144" t="s">
        <v>1350</v>
      </c>
      <c r="H102" s="149" t="s">
        <v>3</v>
      </c>
      <c r="I102" s="137"/>
      <c r="J102" s="144"/>
    </row>
    <row r="103" spans="1:10" x14ac:dyDescent="0.25">
      <c r="A103" s="176">
        <f t="shared" si="0"/>
        <v>53</v>
      </c>
      <c r="B103" s="175" t="s">
        <v>1400</v>
      </c>
      <c r="C103" s="74" t="str">
        <f t="shared" si="19"/>
        <v>Llaves</v>
      </c>
      <c r="D103" s="148" t="str">
        <f t="shared" si="2"/>
        <v>gl</v>
      </c>
      <c r="E103" s="110"/>
      <c r="F103" s="145"/>
      <c r="G103" s="144" t="s">
        <v>1351</v>
      </c>
      <c r="H103" s="149" t="s">
        <v>3</v>
      </c>
      <c r="I103" s="137"/>
      <c r="J103" s="144"/>
    </row>
    <row r="104" spans="1:10" x14ac:dyDescent="0.25">
      <c r="A104" s="176">
        <f t="shared" si="0"/>
        <v>54</v>
      </c>
      <c r="B104" s="175" t="s">
        <v>1401</v>
      </c>
      <c r="C104" s="74" t="str">
        <f t="shared" si="19"/>
        <v xml:space="preserve">Boca teléfono, timbre, TV y portero </v>
      </c>
      <c r="D104" s="148" t="str">
        <f t="shared" si="2"/>
        <v>gl</v>
      </c>
      <c r="E104" s="110"/>
      <c r="F104" s="145"/>
      <c r="G104" s="144" t="s">
        <v>1352</v>
      </c>
      <c r="H104" s="149" t="s">
        <v>3</v>
      </c>
      <c r="I104" s="137"/>
      <c r="J104" s="144"/>
    </row>
    <row r="105" spans="1:10" x14ac:dyDescent="0.25">
      <c r="A105" s="176">
        <f t="shared" si="0"/>
        <v>55</v>
      </c>
      <c r="B105" s="175" t="s">
        <v>1402</v>
      </c>
      <c r="C105" s="74" t="str">
        <f t="shared" si="19"/>
        <v>Instalacion equipo luz de emergencia en espacios comunes</v>
      </c>
      <c r="D105" s="148" t="str">
        <f t="shared" si="2"/>
        <v>gl</v>
      </c>
      <c r="E105" s="110"/>
      <c r="F105" s="145"/>
      <c r="G105" s="144" t="s">
        <v>1353</v>
      </c>
      <c r="H105" s="149" t="s">
        <v>3</v>
      </c>
      <c r="I105" s="137"/>
      <c r="J105" s="144"/>
    </row>
    <row r="106" spans="1:10" x14ac:dyDescent="0.25">
      <c r="A106" s="176">
        <f t="shared" si="0"/>
        <v>56</v>
      </c>
      <c r="B106" s="175" t="s">
        <v>1403</v>
      </c>
      <c r="C106" s="74" t="str">
        <f t="shared" si="19"/>
        <v>Servicios generales / pat</v>
      </c>
      <c r="D106" s="148" t="str">
        <f t="shared" ref="D106:D113" si="20">IFERROR(VLOOKUP(J106,Tabla_Items,2,FALSE),H106)</f>
        <v>gl</v>
      </c>
      <c r="E106" s="110"/>
      <c r="F106" s="145"/>
      <c r="G106" s="144" t="s">
        <v>1354</v>
      </c>
      <c r="H106" s="149" t="s">
        <v>3</v>
      </c>
      <c r="I106" s="137"/>
      <c r="J106" s="144"/>
    </row>
    <row r="107" spans="1:10" x14ac:dyDescent="0.25">
      <c r="A107" s="176">
        <f t="shared" si="0"/>
        <v>57</v>
      </c>
      <c r="B107" s="175" t="s">
        <v>1404</v>
      </c>
      <c r="C107" s="74" t="str">
        <f t="shared" si="19"/>
        <v>Instalación aire acondicionado</v>
      </c>
      <c r="D107" s="148" t="str">
        <f t="shared" si="20"/>
        <v>gl</v>
      </c>
      <c r="E107" s="110"/>
      <c r="F107" s="145"/>
      <c r="G107" s="144" t="s">
        <v>1355</v>
      </c>
      <c r="H107" s="149" t="s">
        <v>3</v>
      </c>
      <c r="I107" s="137"/>
      <c r="J107" s="144"/>
    </row>
    <row r="108" spans="1:10" x14ac:dyDescent="0.25">
      <c r="A108" s="176">
        <f t="shared" ref="A108:A156" si="21">IF(D108=0,A107,A107+1)</f>
        <v>58</v>
      </c>
      <c r="B108" s="175" t="s">
        <v>1405</v>
      </c>
      <c r="C108" s="74" t="str">
        <f t="shared" si="19"/>
        <v xml:space="preserve">Artefactos en locales comunes </v>
      </c>
      <c r="D108" s="148" t="str">
        <f t="shared" si="20"/>
        <v>gl</v>
      </c>
      <c r="E108" s="110"/>
      <c r="F108" s="145"/>
      <c r="G108" s="144" t="s">
        <v>1356</v>
      </c>
      <c r="H108" s="149" t="s">
        <v>3</v>
      </c>
      <c r="I108" s="137"/>
      <c r="J108" s="144"/>
    </row>
    <row r="109" spans="1:10" x14ac:dyDescent="0.25">
      <c r="A109" s="176">
        <f t="shared" si="21"/>
        <v>59</v>
      </c>
      <c r="B109" s="175" t="s">
        <v>1406</v>
      </c>
      <c r="C109" s="74" t="str">
        <f t="shared" si="19"/>
        <v>Canalizacion y cableado de comando calefon solar</v>
      </c>
      <c r="D109" s="148" t="str">
        <f t="shared" si="20"/>
        <v>gl</v>
      </c>
      <c r="E109" s="110"/>
      <c r="F109" s="145"/>
      <c r="G109" s="144" t="s">
        <v>1357</v>
      </c>
      <c r="H109" s="149" t="s">
        <v>3</v>
      </c>
      <c r="I109" s="137"/>
      <c r="J109" s="144"/>
    </row>
    <row r="110" spans="1:10" x14ac:dyDescent="0.25">
      <c r="A110" s="176">
        <f t="shared" si="21"/>
        <v>59</v>
      </c>
      <c r="B110" s="175">
        <v>16</v>
      </c>
      <c r="C110" s="74" t="str">
        <f t="shared" si="19"/>
        <v>INSTALACIÓN SANITARIA</v>
      </c>
      <c r="D110" s="148">
        <f t="shared" si="20"/>
        <v>0</v>
      </c>
      <c r="E110" s="110"/>
      <c r="F110" s="145"/>
      <c r="G110" s="144" t="s">
        <v>1358</v>
      </c>
      <c r="H110" s="149"/>
      <c r="I110" s="137"/>
      <c r="J110" s="144"/>
    </row>
    <row r="111" spans="1:10" x14ac:dyDescent="0.25">
      <c r="A111" s="176">
        <f t="shared" si="21"/>
        <v>60</v>
      </c>
      <c r="B111" s="175" t="s">
        <v>1407</v>
      </c>
      <c r="C111" s="74" t="str">
        <f t="shared" si="19"/>
        <v>Instalación agua fría y caliente</v>
      </c>
      <c r="D111" s="148" t="str">
        <f t="shared" si="20"/>
        <v>gl</v>
      </c>
      <c r="E111" s="110"/>
      <c r="F111" s="145"/>
      <c r="G111" s="144" t="s">
        <v>1359</v>
      </c>
      <c r="H111" s="149" t="s">
        <v>3</v>
      </c>
      <c r="I111" s="137"/>
      <c r="J111" s="144"/>
    </row>
    <row r="112" spans="1:10" x14ac:dyDescent="0.25">
      <c r="A112" s="176">
        <f t="shared" si="21"/>
        <v>61</v>
      </c>
      <c r="B112" s="175" t="s">
        <v>1408</v>
      </c>
      <c r="C112" s="74" t="str">
        <f t="shared" si="19"/>
        <v>Desagües Cloacales</v>
      </c>
      <c r="D112" s="148" t="str">
        <f t="shared" si="20"/>
        <v>gl</v>
      </c>
      <c r="E112" s="110"/>
      <c r="F112" s="145"/>
      <c r="G112" s="144" t="s">
        <v>1360</v>
      </c>
      <c r="H112" s="149" t="s">
        <v>3</v>
      </c>
      <c r="I112" s="137"/>
      <c r="J112" s="144"/>
    </row>
    <row r="113" spans="1:10" x14ac:dyDescent="0.25">
      <c r="A113" s="176">
        <f t="shared" si="21"/>
        <v>62</v>
      </c>
      <c r="B113" s="175" t="s">
        <v>1409</v>
      </c>
      <c r="C113" s="74" t="str">
        <f t="shared" si="19"/>
        <v>Desagües Pluviales</v>
      </c>
      <c r="D113" s="148" t="str">
        <f t="shared" si="20"/>
        <v>gl</v>
      </c>
      <c r="E113" s="110"/>
      <c r="F113" s="145"/>
      <c r="G113" s="144" t="s">
        <v>1361</v>
      </c>
      <c r="H113" s="149" t="s">
        <v>3</v>
      </c>
      <c r="I113" s="137"/>
      <c r="J113" s="144"/>
    </row>
    <row r="114" spans="1:10" x14ac:dyDescent="0.25">
      <c r="A114" s="176">
        <f t="shared" si="21"/>
        <v>63</v>
      </c>
      <c r="B114" s="175" t="s">
        <v>1410</v>
      </c>
      <c r="C114" s="74" t="str">
        <f t="shared" ref="C114:C115" si="22">IFERROR(VLOOKUP(J114,Tabla_Items,2,FALSE),G114)</f>
        <v>Desagüe aire acondicionado</v>
      </c>
      <c r="D114" s="148" t="str">
        <f t="shared" ref="D114:D115" si="23">IFERROR(VLOOKUP(J114,Tabla_Items,2,FALSE),H114)</f>
        <v>gl</v>
      </c>
      <c r="E114" s="110"/>
      <c r="F114" s="145"/>
      <c r="G114" s="144" t="s">
        <v>1362</v>
      </c>
      <c r="H114" s="149" t="s">
        <v>3</v>
      </c>
      <c r="I114" s="137"/>
      <c r="J114" s="144"/>
    </row>
    <row r="115" spans="1:10" x14ac:dyDescent="0.25">
      <c r="A115" s="176">
        <f t="shared" si="21"/>
        <v>64</v>
      </c>
      <c r="B115" s="175" t="s">
        <v>1411</v>
      </c>
      <c r="C115" s="74" t="str">
        <f t="shared" si="22"/>
        <v xml:space="preserve">Artefactos sanitarios  </v>
      </c>
      <c r="D115" s="148" t="str">
        <f t="shared" si="23"/>
        <v>gl</v>
      </c>
      <c r="E115" s="110"/>
      <c r="F115" s="145"/>
      <c r="G115" s="144" t="s">
        <v>1363</v>
      </c>
      <c r="H115" s="149" t="s">
        <v>3</v>
      </c>
      <c r="I115" s="137"/>
      <c r="J115" s="144"/>
    </row>
    <row r="116" spans="1:10" x14ac:dyDescent="0.25">
      <c r="A116" s="176">
        <f t="shared" si="21"/>
        <v>65</v>
      </c>
      <c r="B116" s="175" t="s">
        <v>1412</v>
      </c>
      <c r="C116" s="74" t="str">
        <f t="shared" ref="C116:C135" si="24">IFERROR(VLOOKUP(J116,Tabla_Items,2,FALSE),G116)</f>
        <v>Griferia de sanitario y cocina</v>
      </c>
      <c r="D116" s="148" t="str">
        <f t="shared" ref="D116:D135" si="25">IFERROR(VLOOKUP(J116,Tabla_Items,2,FALSE),H116)</f>
        <v>gl</v>
      </c>
      <c r="E116" s="110"/>
      <c r="F116" s="145"/>
      <c r="G116" s="144" t="s">
        <v>1364</v>
      </c>
      <c r="H116" s="149" t="s">
        <v>3</v>
      </c>
      <c r="I116" s="137"/>
      <c r="J116" s="144"/>
    </row>
    <row r="117" spans="1:10" x14ac:dyDescent="0.25">
      <c r="A117" s="176">
        <f t="shared" si="21"/>
        <v>66</v>
      </c>
      <c r="B117" s="175" t="s">
        <v>1413</v>
      </c>
      <c r="C117" s="74" t="str">
        <f t="shared" si="24"/>
        <v>Accesorios de sanitarios</v>
      </c>
      <c r="D117" s="148" t="str">
        <f t="shared" si="25"/>
        <v>gl</v>
      </c>
      <c r="E117" s="110"/>
      <c r="F117" s="145"/>
      <c r="G117" s="144" t="s">
        <v>1365</v>
      </c>
      <c r="H117" s="149" t="s">
        <v>3</v>
      </c>
      <c r="I117" s="137"/>
      <c r="J117" s="144"/>
    </row>
    <row r="118" spans="1:10" x14ac:dyDescent="0.25">
      <c r="A118" s="176">
        <f t="shared" si="21"/>
        <v>67</v>
      </c>
      <c r="B118" s="175" t="s">
        <v>1414</v>
      </c>
      <c r="C118" s="74" t="str">
        <f t="shared" si="24"/>
        <v>Tanque de bombeo (5000 litros)</v>
      </c>
      <c r="D118" s="148" t="str">
        <f t="shared" si="25"/>
        <v>gl</v>
      </c>
      <c r="E118" s="110"/>
      <c r="F118" s="145"/>
      <c r="G118" s="144" t="s">
        <v>1366</v>
      </c>
      <c r="H118" s="149" t="s">
        <v>3</v>
      </c>
      <c r="I118" s="137"/>
      <c r="J118" s="144"/>
    </row>
    <row r="119" spans="1:10" x14ac:dyDescent="0.25">
      <c r="A119" s="176">
        <f t="shared" si="21"/>
        <v>68</v>
      </c>
      <c r="B119" s="175" t="s">
        <v>1415</v>
      </c>
      <c r="C119" s="74" t="str">
        <f t="shared" si="24"/>
        <v xml:space="preserve">Tanque de reserva (5000 litros) </v>
      </c>
      <c r="D119" s="148" t="str">
        <f t="shared" si="25"/>
        <v>gl</v>
      </c>
      <c r="E119" s="110"/>
      <c r="F119" s="145"/>
      <c r="G119" s="144" t="s">
        <v>1367</v>
      </c>
      <c r="H119" s="149" t="s">
        <v>3</v>
      </c>
      <c r="I119" s="137"/>
      <c r="J119" s="144"/>
    </row>
    <row r="120" spans="1:10" x14ac:dyDescent="0.25">
      <c r="A120" s="176">
        <f t="shared" si="21"/>
        <v>68</v>
      </c>
      <c r="B120" s="175">
        <v>17</v>
      </c>
      <c r="C120" s="74" t="str">
        <f t="shared" si="24"/>
        <v>INSTALACIÓN CONTRA INCENDIO TOTAL</v>
      </c>
      <c r="D120" s="148">
        <f t="shared" si="25"/>
        <v>0</v>
      </c>
      <c r="E120" s="110"/>
      <c r="F120" s="145"/>
      <c r="G120" s="144" t="s">
        <v>1368</v>
      </c>
      <c r="H120" s="149"/>
      <c r="I120" s="137"/>
      <c r="J120" s="144"/>
    </row>
    <row r="121" spans="1:10" x14ac:dyDescent="0.25">
      <c r="A121" s="176">
        <f t="shared" si="21"/>
        <v>69</v>
      </c>
      <c r="B121" s="175" t="s">
        <v>1416</v>
      </c>
      <c r="C121" s="74" t="str">
        <f t="shared" si="24"/>
        <v>Tanque de reserva   PRFV 5000 LTS</v>
      </c>
      <c r="D121" s="148" t="str">
        <f t="shared" si="25"/>
        <v>u</v>
      </c>
      <c r="E121" s="110"/>
      <c r="F121" s="145"/>
      <c r="G121" s="144" t="s">
        <v>1369</v>
      </c>
      <c r="H121" s="149" t="s">
        <v>1143</v>
      </c>
      <c r="I121" s="137"/>
      <c r="J121" s="144"/>
    </row>
    <row r="122" spans="1:10" x14ac:dyDescent="0.25">
      <c r="A122" s="176">
        <f t="shared" si="21"/>
        <v>70</v>
      </c>
      <c r="B122" s="175" t="s">
        <v>1417</v>
      </c>
      <c r="C122" s="74" t="str">
        <f t="shared" si="24"/>
        <v xml:space="preserve">Bomba de 15 hp </v>
      </c>
      <c r="D122" s="148" t="str">
        <f t="shared" si="25"/>
        <v>u</v>
      </c>
      <c r="E122" s="110"/>
      <c r="F122" s="145"/>
      <c r="G122" s="144" t="s">
        <v>1526</v>
      </c>
      <c r="H122" s="149" t="s">
        <v>1143</v>
      </c>
      <c r="I122" s="137"/>
      <c r="J122" s="144"/>
    </row>
    <row r="123" spans="1:10" x14ac:dyDescent="0.25">
      <c r="A123" s="176">
        <f t="shared" si="21"/>
        <v>71</v>
      </c>
      <c r="B123" s="175" t="s">
        <v>1418</v>
      </c>
      <c r="C123" s="74" t="str">
        <f t="shared" si="24"/>
        <v>Extintores ABC 5 kg</v>
      </c>
      <c r="D123" s="148" t="str">
        <f t="shared" si="25"/>
        <v>u</v>
      </c>
      <c r="E123" s="110"/>
      <c r="F123" s="145"/>
      <c r="G123" s="144" t="s">
        <v>1370</v>
      </c>
      <c r="H123" s="149" t="s">
        <v>1143</v>
      </c>
      <c r="I123" s="137"/>
      <c r="J123" s="144"/>
    </row>
    <row r="124" spans="1:10" x14ac:dyDescent="0.25">
      <c r="A124" s="176">
        <f t="shared" si="21"/>
        <v>72</v>
      </c>
      <c r="B124" s="175" t="s">
        <v>1419</v>
      </c>
      <c r="C124" s="74" t="str">
        <f t="shared" si="24"/>
        <v>Hidrantes con caja lanza y martillo</v>
      </c>
      <c r="D124" s="148" t="str">
        <f t="shared" si="25"/>
        <v>u</v>
      </c>
      <c r="E124" s="110"/>
      <c r="F124" s="145"/>
      <c r="G124" s="144" t="s">
        <v>1371</v>
      </c>
      <c r="H124" s="149" t="s">
        <v>1143</v>
      </c>
      <c r="I124" s="137"/>
      <c r="J124" s="144"/>
    </row>
    <row r="125" spans="1:10" x14ac:dyDescent="0.25">
      <c r="A125" s="176">
        <f t="shared" si="21"/>
        <v>73</v>
      </c>
      <c r="B125" s="175" t="s">
        <v>1420</v>
      </c>
      <c r="C125" s="74" t="str">
        <f t="shared" si="24"/>
        <v>Manguera para incendio diametro 38,long 25 metros</v>
      </c>
      <c r="D125" s="148" t="str">
        <f t="shared" si="25"/>
        <v>u</v>
      </c>
      <c r="E125" s="110"/>
      <c r="F125" s="145"/>
      <c r="G125" s="144" t="s">
        <v>1372</v>
      </c>
      <c r="H125" s="149" t="s">
        <v>1143</v>
      </c>
      <c r="I125" s="137"/>
      <c r="J125" s="144"/>
    </row>
    <row r="126" spans="1:10" x14ac:dyDescent="0.25">
      <c r="A126" s="176">
        <f t="shared" si="21"/>
        <v>74</v>
      </c>
      <c r="B126" s="175" t="s">
        <v>1421</v>
      </c>
      <c r="C126" s="74" t="str">
        <f t="shared" si="24"/>
        <v xml:space="preserve">Bomba Joker </v>
      </c>
      <c r="D126" s="148" t="str">
        <f t="shared" si="25"/>
        <v>u</v>
      </c>
      <c r="E126" s="110"/>
      <c r="F126" s="145"/>
      <c r="G126" s="144" t="s">
        <v>1373</v>
      </c>
      <c r="H126" s="149" t="s">
        <v>1143</v>
      </c>
      <c r="I126" s="137"/>
      <c r="J126" s="144"/>
    </row>
    <row r="127" spans="1:10" x14ac:dyDescent="0.25">
      <c r="A127" s="176">
        <f t="shared" si="21"/>
        <v>75</v>
      </c>
      <c r="B127" s="175" t="s">
        <v>1422</v>
      </c>
      <c r="C127" s="74" t="str">
        <f t="shared" si="24"/>
        <v>Luces de Emergencia</v>
      </c>
      <c r="D127" s="148" t="str">
        <f t="shared" si="25"/>
        <v>u</v>
      </c>
      <c r="E127" s="110"/>
      <c r="F127" s="145"/>
      <c r="G127" s="144" t="s">
        <v>1374</v>
      </c>
      <c r="H127" s="149" t="s">
        <v>1143</v>
      </c>
      <c r="I127" s="137"/>
      <c r="J127" s="144"/>
    </row>
    <row r="128" spans="1:10" x14ac:dyDescent="0.25">
      <c r="A128" s="176">
        <f t="shared" si="21"/>
        <v>76</v>
      </c>
      <c r="B128" s="175" t="s">
        <v>1423</v>
      </c>
      <c r="C128" s="74" t="str">
        <f t="shared" si="24"/>
        <v>Cañeria HG 75 mm</v>
      </c>
      <c r="D128" s="148" t="str">
        <f t="shared" si="25"/>
        <v>ml</v>
      </c>
      <c r="E128" s="110"/>
      <c r="F128" s="145"/>
      <c r="G128" s="144" t="s">
        <v>1375</v>
      </c>
      <c r="H128" s="149" t="s">
        <v>724</v>
      </c>
      <c r="I128" s="137"/>
      <c r="J128" s="144"/>
    </row>
    <row r="129" spans="1:10" x14ac:dyDescent="0.25">
      <c r="A129" s="176">
        <f t="shared" si="21"/>
        <v>77</v>
      </c>
      <c r="B129" s="175" t="s">
        <v>1424</v>
      </c>
      <c r="C129" s="74" t="str">
        <f t="shared" si="24"/>
        <v>Cañeria HG 63 mm</v>
      </c>
      <c r="D129" s="148" t="str">
        <f t="shared" si="25"/>
        <v>ml</v>
      </c>
      <c r="E129" s="110"/>
      <c r="F129" s="145"/>
      <c r="G129" s="144" t="s">
        <v>1376</v>
      </c>
      <c r="H129" s="149" t="s">
        <v>724</v>
      </c>
      <c r="I129" s="137"/>
      <c r="J129" s="144"/>
    </row>
    <row r="130" spans="1:10" x14ac:dyDescent="0.25">
      <c r="A130" s="176">
        <f t="shared" si="21"/>
        <v>78</v>
      </c>
      <c r="B130" s="175" t="s">
        <v>1425</v>
      </c>
      <c r="C130" s="74" t="str">
        <f t="shared" si="24"/>
        <v>Cañeria HG 50 mm</v>
      </c>
      <c r="D130" s="148" t="str">
        <f t="shared" si="25"/>
        <v>ml</v>
      </c>
      <c r="E130" s="110"/>
      <c r="F130" s="145"/>
      <c r="G130" s="144" t="s">
        <v>1377</v>
      </c>
      <c r="H130" s="149" t="s">
        <v>724</v>
      </c>
      <c r="I130" s="137"/>
      <c r="J130" s="144"/>
    </row>
    <row r="131" spans="1:10" x14ac:dyDescent="0.25">
      <c r="A131" s="176">
        <f t="shared" si="21"/>
        <v>79</v>
      </c>
      <c r="B131" s="175" t="s">
        <v>1426</v>
      </c>
      <c r="C131" s="74" t="str">
        <f t="shared" si="24"/>
        <v>Valvulas Esclusas de bronce dim 45</v>
      </c>
      <c r="D131" s="148" t="str">
        <f t="shared" si="25"/>
        <v>u</v>
      </c>
      <c r="E131" s="110"/>
      <c r="F131" s="145"/>
      <c r="G131" s="144" t="s">
        <v>1378</v>
      </c>
      <c r="H131" s="149" t="s">
        <v>1143</v>
      </c>
      <c r="I131" s="137"/>
      <c r="J131" s="144"/>
    </row>
    <row r="132" spans="1:10" x14ac:dyDescent="0.25">
      <c r="A132" s="176">
        <f t="shared" si="21"/>
        <v>80</v>
      </c>
      <c r="B132" s="175" t="s">
        <v>1427</v>
      </c>
      <c r="C132" s="74" t="str">
        <f t="shared" si="24"/>
        <v>Valvulas Esclusas de bronce dim 38</v>
      </c>
      <c r="D132" s="148" t="str">
        <f t="shared" si="25"/>
        <v>u</v>
      </c>
      <c r="E132" s="110"/>
      <c r="F132" s="145"/>
      <c r="G132" s="144" t="s">
        <v>1379</v>
      </c>
      <c r="H132" s="149" t="s">
        <v>1143</v>
      </c>
      <c r="I132" s="137"/>
      <c r="J132" s="144"/>
    </row>
    <row r="133" spans="1:10" x14ac:dyDescent="0.25">
      <c r="A133" s="176">
        <f t="shared" si="21"/>
        <v>81</v>
      </c>
      <c r="B133" s="175" t="s">
        <v>1428</v>
      </c>
      <c r="C133" s="74" t="str">
        <f t="shared" si="24"/>
        <v>Caja de Impulsion con llave esferica de 2" (60x40)</v>
      </c>
      <c r="D133" s="148" t="str">
        <f t="shared" si="25"/>
        <v>u</v>
      </c>
      <c r="E133" s="110"/>
      <c r="F133" s="145"/>
      <c r="G133" s="144" t="s">
        <v>1380</v>
      </c>
      <c r="H133" s="149" t="s">
        <v>1143</v>
      </c>
      <c r="I133" s="137"/>
      <c r="J133" s="144"/>
    </row>
    <row r="134" spans="1:10" x14ac:dyDescent="0.25">
      <c r="A134" s="176">
        <f t="shared" si="21"/>
        <v>82</v>
      </c>
      <c r="B134" s="175" t="s">
        <v>1429</v>
      </c>
      <c r="C134" s="74" t="str">
        <f t="shared" si="24"/>
        <v>Tambor con arena de 200 lts</v>
      </c>
      <c r="D134" s="148" t="str">
        <f t="shared" si="25"/>
        <v>u</v>
      </c>
      <c r="E134" s="110"/>
      <c r="F134" s="145"/>
      <c r="G134" s="144" t="s">
        <v>1381</v>
      </c>
      <c r="H134" s="149" t="s">
        <v>1143</v>
      </c>
      <c r="I134" s="137"/>
      <c r="J134" s="144"/>
    </row>
    <row r="135" spans="1:10" x14ac:dyDescent="0.25">
      <c r="A135" s="176">
        <f t="shared" si="21"/>
        <v>82</v>
      </c>
      <c r="B135" s="175">
        <v>18</v>
      </c>
      <c r="C135" s="74" t="str">
        <f t="shared" si="24"/>
        <v>INSTALACION ELECTROMECANICA</v>
      </c>
      <c r="D135" s="148">
        <f t="shared" si="25"/>
        <v>0</v>
      </c>
      <c r="E135" s="110"/>
      <c r="F135" s="145"/>
      <c r="G135" s="144" t="s">
        <v>1382</v>
      </c>
      <c r="H135" s="149"/>
      <c r="I135" s="137"/>
      <c r="J135" s="144"/>
    </row>
    <row r="136" spans="1:10" x14ac:dyDescent="0.25">
      <c r="A136" s="176">
        <f t="shared" si="21"/>
        <v>83</v>
      </c>
      <c r="B136" s="175" t="s">
        <v>1430</v>
      </c>
      <c r="C136" s="74" t="str">
        <f t="shared" ref="C136:C169" si="26">IFERROR(VLOOKUP(J136,Tabla_Items,2,FALSE),G136)</f>
        <v>Instalación electromagnética</v>
      </c>
      <c r="D136" s="148" t="str">
        <f t="shared" ref="D136:D169" si="27">IFERROR(VLOOKUP(J136,Tabla_Items,2,FALSE),H136)</f>
        <v>gl</v>
      </c>
      <c r="E136" s="110"/>
      <c r="F136" s="145"/>
      <c r="G136" s="144" t="s">
        <v>1383</v>
      </c>
      <c r="H136" s="149" t="s">
        <v>3</v>
      </c>
      <c r="I136" s="137"/>
      <c r="J136" s="144"/>
    </row>
    <row r="137" spans="1:10" x14ac:dyDescent="0.25">
      <c r="A137" s="176">
        <f t="shared" si="21"/>
        <v>84</v>
      </c>
      <c r="B137" s="175" t="s">
        <v>1431</v>
      </c>
      <c r="C137" s="74" t="str">
        <f t="shared" si="26"/>
        <v>Ascensor Electromagnetico Cap.450 kg Ancho 1100 x 1300 cm (Torre 9 niveles)</v>
      </c>
      <c r="D137" s="148" t="str">
        <f t="shared" si="27"/>
        <v>u</v>
      </c>
      <c r="E137" s="110"/>
      <c r="F137" s="145"/>
      <c r="G137" s="144" t="s">
        <v>1520</v>
      </c>
      <c r="H137" s="149" t="s">
        <v>1143</v>
      </c>
      <c r="I137" s="137"/>
      <c r="J137" s="144"/>
    </row>
    <row r="138" spans="1:10" x14ac:dyDescent="0.25">
      <c r="A138" s="176">
        <f t="shared" si="21"/>
        <v>85</v>
      </c>
      <c r="B138" s="175" t="s">
        <v>1521</v>
      </c>
      <c r="C138" s="74" t="str">
        <f t="shared" ref="C138" si="28">IFERROR(VLOOKUP(J138,Tabla_Items,2,FALSE),G138)</f>
        <v>Ascensor Electromagnetico Cap.450 kg Ancho 1100 x 1300 cm  (Ala 5 niveles)</v>
      </c>
      <c r="D138" s="148" t="str">
        <f t="shared" ref="D138" si="29">IFERROR(VLOOKUP(J138,Tabla_Items,2,FALSE),H138)</f>
        <v>u</v>
      </c>
      <c r="E138" s="110"/>
      <c r="F138" s="145"/>
      <c r="G138" s="144" t="s">
        <v>1522</v>
      </c>
      <c r="H138" s="149" t="s">
        <v>1143</v>
      </c>
      <c r="I138" s="137"/>
      <c r="J138" s="144"/>
    </row>
    <row r="139" spans="1:10" x14ac:dyDescent="0.25">
      <c r="A139" s="176">
        <f t="shared" si="21"/>
        <v>85</v>
      </c>
      <c r="B139" s="175">
        <v>19</v>
      </c>
      <c r="C139" s="74" t="str">
        <f t="shared" si="26"/>
        <v>CONDUCTOS Y VENTILACIONES</v>
      </c>
      <c r="D139" s="148">
        <f t="shared" si="27"/>
        <v>0</v>
      </c>
      <c r="E139" s="110"/>
      <c r="F139" s="145"/>
      <c r="G139" s="144" t="s">
        <v>1384</v>
      </c>
      <c r="H139" s="149"/>
      <c r="I139" s="137"/>
      <c r="J139" s="144"/>
    </row>
    <row r="140" spans="1:10" x14ac:dyDescent="0.25">
      <c r="A140" s="176">
        <f t="shared" si="21"/>
        <v>86</v>
      </c>
      <c r="B140" s="175" t="s">
        <v>1432</v>
      </c>
      <c r="C140" s="74" t="str">
        <f t="shared" si="26"/>
        <v>Rejilla ventilación baños</v>
      </c>
      <c r="D140" s="148" t="str">
        <f t="shared" si="27"/>
        <v>u</v>
      </c>
      <c r="E140" s="110"/>
      <c r="F140" s="145"/>
      <c r="G140" s="144" t="s">
        <v>1385</v>
      </c>
      <c r="H140" s="149" t="s">
        <v>1143</v>
      </c>
      <c r="I140" s="137"/>
      <c r="J140" s="144"/>
    </row>
    <row r="141" spans="1:10" x14ac:dyDescent="0.25">
      <c r="A141" s="176">
        <f t="shared" si="21"/>
        <v>86</v>
      </c>
      <c r="B141" s="432" t="s">
        <v>1125</v>
      </c>
      <c r="C141" s="113" t="str">
        <f t="shared" si="26"/>
        <v>ESPACIOS COMUNES</v>
      </c>
      <c r="D141" s="148">
        <f t="shared" si="27"/>
        <v>0</v>
      </c>
      <c r="E141" s="110"/>
      <c r="F141" s="145"/>
      <c r="G141" s="113" t="s">
        <v>1433</v>
      </c>
      <c r="H141" s="113"/>
      <c r="I141" s="137"/>
      <c r="J141" s="144"/>
    </row>
    <row r="142" spans="1:10" x14ac:dyDescent="0.25">
      <c r="A142" s="176">
        <f t="shared" si="21"/>
        <v>86</v>
      </c>
      <c r="B142" s="175">
        <v>20</v>
      </c>
      <c r="C142" s="74" t="str">
        <f t="shared" si="26"/>
        <v>ESTRUCTURA RESISTENTE</v>
      </c>
      <c r="D142" s="148">
        <f t="shared" si="27"/>
        <v>0</v>
      </c>
      <c r="E142" s="110"/>
      <c r="F142" s="145"/>
      <c r="G142" s="144" t="s">
        <v>1280</v>
      </c>
      <c r="H142" s="149"/>
      <c r="I142" s="137"/>
      <c r="J142" s="144"/>
    </row>
    <row r="143" spans="1:10" x14ac:dyDescent="0.25">
      <c r="A143" s="176">
        <f t="shared" si="21"/>
        <v>87</v>
      </c>
      <c r="B143" s="175" t="s">
        <v>1261</v>
      </c>
      <c r="C143" s="74" t="str">
        <f t="shared" si="26"/>
        <v>Contrapisos de H° A° - Esp. 0,10m. (incluye solo Torre con 9 niveles)</v>
      </c>
      <c r="D143" s="148" t="str">
        <f t="shared" si="27"/>
        <v>m2</v>
      </c>
      <c r="E143" s="110"/>
      <c r="F143" s="145"/>
      <c r="G143" s="144" t="s">
        <v>1434</v>
      </c>
      <c r="H143" s="149" t="s">
        <v>5</v>
      </c>
      <c r="I143" s="137"/>
      <c r="J143" s="144"/>
    </row>
    <row r="144" spans="1:10" x14ac:dyDescent="0.25">
      <c r="A144" s="176">
        <f t="shared" si="21"/>
        <v>88</v>
      </c>
      <c r="B144" s="175" t="s">
        <v>1459</v>
      </c>
      <c r="C144" s="74" t="str">
        <f t="shared" si="26"/>
        <v>Contrapisos de H° A° - Esp. 0,10m. (incluye Estacionamientos, Sala de Máquinas y Bombeo en Subsuelo)</v>
      </c>
      <c r="D144" s="148" t="str">
        <f t="shared" si="27"/>
        <v>m2</v>
      </c>
      <c r="E144" s="110"/>
      <c r="F144" s="145"/>
      <c r="G144" s="144" t="s">
        <v>1435</v>
      </c>
      <c r="H144" s="149" t="s">
        <v>5</v>
      </c>
      <c r="I144" s="137"/>
      <c r="J144" s="144"/>
    </row>
    <row r="145" spans="1:10" x14ac:dyDescent="0.25">
      <c r="A145" s="176">
        <f t="shared" si="21"/>
        <v>89</v>
      </c>
      <c r="B145" s="175" t="s">
        <v>1460</v>
      </c>
      <c r="C145" s="74" t="str">
        <f t="shared" ref="C145" si="30">IFERROR(VLOOKUP(J145,Tabla_Items,2,FALSE),G145)</f>
        <v>Contrapisos de H° A° - Esp. 0,10m. (incluye solo Bloque Sur y Bloque Oeste con 5 niveles)</v>
      </c>
      <c r="D145" s="148" t="str">
        <f t="shared" ref="D145" si="31">IFERROR(VLOOKUP(J145,Tabla_Items,2,FALSE),H145)</f>
        <v>m2</v>
      </c>
      <c r="E145" s="110"/>
      <c r="F145" s="145"/>
      <c r="G145" s="144" t="s">
        <v>1491</v>
      </c>
      <c r="H145" s="149" t="s">
        <v>5</v>
      </c>
      <c r="I145" s="137"/>
      <c r="J145" s="144"/>
    </row>
    <row r="146" spans="1:10" x14ac:dyDescent="0.25">
      <c r="A146" s="176">
        <f t="shared" si="21"/>
        <v>90</v>
      </c>
      <c r="B146" s="175" t="s">
        <v>1461</v>
      </c>
      <c r="C146" s="74" t="str">
        <f t="shared" si="26"/>
        <v>Escalera de H° A° (incluye solo Torre con 9 niveles)</v>
      </c>
      <c r="D146" s="148" t="str">
        <f t="shared" si="27"/>
        <v>m2</v>
      </c>
      <c r="E146" s="110"/>
      <c r="F146" s="145"/>
      <c r="G146" s="144" t="s">
        <v>1436</v>
      </c>
      <c r="H146" s="149" t="s">
        <v>5</v>
      </c>
      <c r="I146" s="137"/>
      <c r="J146" s="144"/>
    </row>
    <row r="147" spans="1:10" x14ac:dyDescent="0.25">
      <c r="A147" s="176">
        <f t="shared" si="21"/>
        <v>91</v>
      </c>
      <c r="B147" s="175" t="s">
        <v>1462</v>
      </c>
      <c r="C147" s="74" t="str">
        <f t="shared" si="26"/>
        <v>Escalera de H° A° (incluye solo Bloque Sur y Bloque Oeste con 5 niveles)</v>
      </c>
      <c r="D147" s="148" t="str">
        <f t="shared" si="27"/>
        <v>m2</v>
      </c>
      <c r="E147" s="110"/>
      <c r="F147" s="145"/>
      <c r="G147" s="144" t="s">
        <v>1492</v>
      </c>
      <c r="H147" s="149" t="s">
        <v>5</v>
      </c>
      <c r="I147" s="137"/>
      <c r="J147" s="144"/>
    </row>
    <row r="148" spans="1:10" x14ac:dyDescent="0.25">
      <c r="A148" s="176">
        <f t="shared" si="21"/>
        <v>92</v>
      </c>
      <c r="B148" s="175" t="s">
        <v>1463</v>
      </c>
      <c r="C148" s="74" t="str">
        <f t="shared" si="26"/>
        <v>Pisos</v>
      </c>
      <c r="D148" s="148" t="str">
        <f t="shared" si="27"/>
        <v>m2</v>
      </c>
      <c r="E148" s="110"/>
      <c r="F148" s="145"/>
      <c r="G148" s="144" t="s">
        <v>1525</v>
      </c>
      <c r="H148" s="149" t="s">
        <v>5</v>
      </c>
      <c r="I148" s="137"/>
      <c r="J148" s="144"/>
    </row>
    <row r="149" spans="1:10" x14ac:dyDescent="0.25">
      <c r="A149" s="176">
        <f t="shared" si="21"/>
        <v>93</v>
      </c>
      <c r="B149" s="175" t="s">
        <v>1464</v>
      </c>
      <c r="C149" s="74" t="str">
        <f t="shared" si="26"/>
        <v>Areas verdes (gramineas) en panes (incluye todo los espacios verdes del predio Planta Baja y Subsuelo)</v>
      </c>
      <c r="D149" s="148" t="str">
        <f t="shared" si="27"/>
        <v>m2</v>
      </c>
      <c r="E149" s="110"/>
      <c r="F149" s="145"/>
      <c r="G149" s="144" t="s">
        <v>1437</v>
      </c>
      <c r="H149" s="149" t="s">
        <v>5</v>
      </c>
      <c r="I149" s="137"/>
      <c r="J149" s="144"/>
    </row>
    <row r="150" spans="1:10" x14ac:dyDescent="0.25">
      <c r="A150" s="176">
        <f t="shared" si="21"/>
        <v>94</v>
      </c>
      <c r="B150" s="175" t="s">
        <v>1465</v>
      </c>
      <c r="C150" s="74" t="str">
        <f t="shared" si="26"/>
        <v>Especies arbóreas (incluyen todas las que se encuentran en el predio Planta Baja y Subsuelo)</v>
      </c>
      <c r="D150" s="148" t="str">
        <f t="shared" si="27"/>
        <v>u</v>
      </c>
      <c r="E150" s="110"/>
      <c r="F150" s="145"/>
      <c r="G150" s="144" t="s">
        <v>1438</v>
      </c>
      <c r="H150" s="149" t="s">
        <v>1143</v>
      </c>
      <c r="I150" s="137"/>
      <c r="J150" s="144"/>
    </row>
    <row r="151" spans="1:10" x14ac:dyDescent="0.25">
      <c r="A151" s="176">
        <f t="shared" si="21"/>
        <v>95</v>
      </c>
      <c r="B151" s="175" t="s">
        <v>1466</v>
      </c>
      <c r="C151" s="74" t="str">
        <f t="shared" si="26"/>
        <v>Rampas Vehiculares (Planta Baja-Subsuelo)</v>
      </c>
      <c r="D151" s="148" t="str">
        <f t="shared" si="27"/>
        <v>m2</v>
      </c>
      <c r="E151" s="110"/>
      <c r="F151" s="145"/>
      <c r="G151" s="144" t="s">
        <v>1439</v>
      </c>
      <c r="H151" s="149" t="s">
        <v>5</v>
      </c>
      <c r="I151" s="137"/>
      <c r="J151" s="144"/>
    </row>
    <row r="152" spans="1:10" x14ac:dyDescent="0.25">
      <c r="A152" s="176">
        <f t="shared" si="21"/>
        <v>96</v>
      </c>
      <c r="B152" s="175" t="s">
        <v>1467</v>
      </c>
      <c r="C152" s="74" t="str">
        <f t="shared" si="26"/>
        <v>Rampas Peatonales (Planta Baja)</v>
      </c>
      <c r="D152" s="148" t="str">
        <f t="shared" si="27"/>
        <v>m2</v>
      </c>
      <c r="E152" s="110"/>
      <c r="F152" s="145"/>
      <c r="G152" s="144" t="s">
        <v>1440</v>
      </c>
      <c r="H152" s="149" t="s">
        <v>5</v>
      </c>
      <c r="I152" s="137"/>
      <c r="J152" s="144"/>
    </row>
    <row r="153" spans="1:10" x14ac:dyDescent="0.25">
      <c r="A153" s="176">
        <f t="shared" si="21"/>
        <v>97</v>
      </c>
      <c r="B153" s="175" t="s">
        <v>1468</v>
      </c>
      <c r="C153" s="74" t="str">
        <f t="shared" si="26"/>
        <v>Pisos de hormigón llaneado y rodillado (Senderos) (incluye en todo el predio de Planta Baja)</v>
      </c>
      <c r="D153" s="148" t="str">
        <f t="shared" si="27"/>
        <v>m2</v>
      </c>
      <c r="E153" s="110"/>
      <c r="F153" s="145"/>
      <c r="G153" s="144" t="s">
        <v>1441</v>
      </c>
      <c r="H153" s="149" t="s">
        <v>5</v>
      </c>
      <c r="I153" s="137"/>
      <c r="J153" s="144"/>
    </row>
    <row r="154" spans="1:10" x14ac:dyDescent="0.25">
      <c r="A154" s="176">
        <f t="shared" si="21"/>
        <v>98</v>
      </c>
      <c r="B154" s="175" t="s">
        <v>1469</v>
      </c>
      <c r="C154" s="74" t="str">
        <f t="shared" si="26"/>
        <v>Barandas metálicas en escaleras, rampas peatonales, balcones y pasillos</v>
      </c>
      <c r="D154" s="148" t="str">
        <f t="shared" si="27"/>
        <v>ml</v>
      </c>
      <c r="E154" s="110"/>
      <c r="F154" s="145"/>
      <c r="G154" s="144" t="s">
        <v>1442</v>
      </c>
      <c r="H154" s="149" t="s">
        <v>724</v>
      </c>
      <c r="I154" s="137"/>
      <c r="J154" s="144"/>
    </row>
    <row r="155" spans="1:10" x14ac:dyDescent="0.25">
      <c r="A155" s="176">
        <f t="shared" si="21"/>
        <v>99</v>
      </c>
      <c r="B155" s="175" t="s">
        <v>1470</v>
      </c>
      <c r="C155" s="74" t="str">
        <f t="shared" si="26"/>
        <v>Cajas de Escalera y Ascensor (Torre 9 niveles)</v>
      </c>
      <c r="D155" s="148" t="str">
        <f t="shared" si="27"/>
        <v>u</v>
      </c>
      <c r="E155" s="110"/>
      <c r="F155" s="145"/>
      <c r="G155" s="144" t="s">
        <v>1523</v>
      </c>
      <c r="H155" s="149" t="s">
        <v>1143</v>
      </c>
      <c r="I155" s="137"/>
      <c r="J155" s="144"/>
    </row>
    <row r="156" spans="1:10" x14ac:dyDescent="0.25">
      <c r="A156" s="176">
        <f t="shared" si="21"/>
        <v>100</v>
      </c>
      <c r="B156" s="175" t="s">
        <v>1493</v>
      </c>
      <c r="C156" s="74" t="str">
        <f t="shared" ref="C156" si="32">IFERROR(VLOOKUP(J156,Tabla_Items,2,FALSE),G156)</f>
        <v>Cajas de Escalera y Ascensor (Alas 5 niveles)</v>
      </c>
      <c r="D156" s="148" t="str">
        <f t="shared" ref="D156" si="33">IFERROR(VLOOKUP(J156,Tabla_Items,2,FALSE),H156)</f>
        <v>u</v>
      </c>
      <c r="E156" s="110"/>
      <c r="F156" s="145"/>
      <c r="G156" s="144" t="s">
        <v>1524</v>
      </c>
      <c r="H156" s="149" t="s">
        <v>1143</v>
      </c>
      <c r="I156" s="137"/>
      <c r="J156" s="144"/>
    </row>
    <row r="157" spans="1:10" x14ac:dyDescent="0.25">
      <c r="A157" s="176">
        <f t="shared" ref="A157:A184" si="34">IF(D157=0,A156,A156+1)</f>
        <v>101</v>
      </c>
      <c r="B157" s="175" t="s">
        <v>1494</v>
      </c>
      <c r="C157" s="74" t="str">
        <f t="shared" si="26"/>
        <v>Bancos en espacios verdes (H° A° y listones de madera)</v>
      </c>
      <c r="D157" s="148" t="str">
        <f t="shared" si="27"/>
        <v>ml</v>
      </c>
      <c r="E157" s="110"/>
      <c r="F157" s="145"/>
      <c r="G157" s="144" t="s">
        <v>1443</v>
      </c>
      <c r="H157" s="149" t="s">
        <v>724</v>
      </c>
      <c r="I157" s="137"/>
      <c r="J157" s="144"/>
    </row>
    <row r="158" spans="1:10" x14ac:dyDescent="0.25">
      <c r="A158" s="176">
        <f t="shared" si="34"/>
        <v>101</v>
      </c>
      <c r="B158" s="175">
        <v>21</v>
      </c>
      <c r="C158" s="74" t="str">
        <f t="shared" si="26"/>
        <v>ESPACIOS COMUNES - INSTALACION ELECTRICA</v>
      </c>
      <c r="D158" s="148">
        <f t="shared" si="27"/>
        <v>0</v>
      </c>
      <c r="E158" s="110"/>
      <c r="F158" s="145"/>
      <c r="G158" s="144" t="s">
        <v>1503</v>
      </c>
      <c r="H158" s="149"/>
      <c r="I158" s="137"/>
      <c r="J158" s="144"/>
    </row>
    <row r="159" spans="1:10" x14ac:dyDescent="0.25">
      <c r="A159" s="176">
        <f t="shared" si="34"/>
        <v>102</v>
      </c>
      <c r="B159" s="175" t="s">
        <v>1471</v>
      </c>
      <c r="C159" s="74" t="str">
        <f t="shared" si="26"/>
        <v>Instalación eléctrica (Cableado)</v>
      </c>
      <c r="D159" s="148" t="str">
        <f t="shared" si="27"/>
        <v>ml</v>
      </c>
      <c r="E159" s="110"/>
      <c r="F159" s="145"/>
      <c r="G159" s="144" t="s">
        <v>1444</v>
      </c>
      <c r="H159" s="149" t="s">
        <v>724</v>
      </c>
      <c r="I159" s="137"/>
      <c r="J159" s="144"/>
    </row>
    <row r="160" spans="1:10" x14ac:dyDescent="0.25">
      <c r="A160" s="176">
        <f t="shared" si="34"/>
        <v>103</v>
      </c>
      <c r="B160" s="175" t="s">
        <v>1472</v>
      </c>
      <c r="C160" s="74" t="str">
        <f t="shared" si="26"/>
        <v>Alimentación en baja tensión (Conexión a red, medidor y pilar reglam.)</v>
      </c>
      <c r="D160" s="148" t="str">
        <f t="shared" si="27"/>
        <v>u</v>
      </c>
      <c r="E160" s="110"/>
      <c r="F160" s="145"/>
      <c r="G160" s="144" t="s">
        <v>1445</v>
      </c>
      <c r="H160" s="149" t="s">
        <v>1143</v>
      </c>
      <c r="I160" s="137"/>
      <c r="J160" s="144"/>
    </row>
    <row r="161" spans="1:10" x14ac:dyDescent="0.25">
      <c r="A161" s="176">
        <f t="shared" si="34"/>
        <v>104</v>
      </c>
      <c r="B161" s="175" t="s">
        <v>1473</v>
      </c>
      <c r="C161" s="74" t="str">
        <f t="shared" si="26"/>
        <v>Tablero principal</v>
      </c>
      <c r="D161" s="148" t="str">
        <f t="shared" si="27"/>
        <v>u</v>
      </c>
      <c r="E161" s="110"/>
      <c r="F161" s="145"/>
      <c r="G161" s="144" t="s">
        <v>1346</v>
      </c>
      <c r="H161" s="149" t="s">
        <v>1143</v>
      </c>
      <c r="I161" s="137"/>
      <c r="J161" s="144"/>
    </row>
    <row r="162" spans="1:10" x14ac:dyDescent="0.25">
      <c r="A162" s="176">
        <f t="shared" si="34"/>
        <v>105</v>
      </c>
      <c r="B162" s="175" t="s">
        <v>1474</v>
      </c>
      <c r="C162" s="74" t="str">
        <f t="shared" si="26"/>
        <v>Bocas iluminación espacio comun</v>
      </c>
      <c r="D162" s="148" t="str">
        <f t="shared" si="27"/>
        <v>u</v>
      </c>
      <c r="E162" s="110"/>
      <c r="F162" s="145"/>
      <c r="G162" s="144" t="s">
        <v>1446</v>
      </c>
      <c r="H162" s="149" t="s">
        <v>1143</v>
      </c>
      <c r="I162" s="137"/>
      <c r="J162" s="144"/>
    </row>
    <row r="163" spans="1:10" x14ac:dyDescent="0.25">
      <c r="A163" s="176">
        <f t="shared" si="34"/>
        <v>106</v>
      </c>
      <c r="B163" s="175" t="s">
        <v>1475</v>
      </c>
      <c r="C163" s="74" t="str">
        <f t="shared" si="26"/>
        <v>Boca iluminacion espacio verde</v>
      </c>
      <c r="D163" s="148" t="str">
        <f t="shared" si="27"/>
        <v>u</v>
      </c>
      <c r="E163" s="110"/>
      <c r="F163" s="145"/>
      <c r="G163" s="144" t="s">
        <v>1447</v>
      </c>
      <c r="H163" s="149" t="s">
        <v>1143</v>
      </c>
      <c r="I163" s="137"/>
      <c r="J163" s="144"/>
    </row>
    <row r="164" spans="1:10" x14ac:dyDescent="0.25">
      <c r="A164" s="176">
        <f t="shared" si="34"/>
        <v>107</v>
      </c>
      <c r="B164" s="175" t="s">
        <v>1476</v>
      </c>
      <c r="C164" s="74" t="str">
        <f t="shared" si="26"/>
        <v>Cañerias</v>
      </c>
      <c r="D164" s="148" t="str">
        <f t="shared" si="27"/>
        <v>u</v>
      </c>
      <c r="E164" s="110"/>
      <c r="F164" s="145"/>
      <c r="G164" s="144" t="s">
        <v>1448</v>
      </c>
      <c r="H164" s="149" t="s">
        <v>1143</v>
      </c>
      <c r="I164" s="137"/>
      <c r="J164" s="144"/>
    </row>
    <row r="165" spans="1:10" x14ac:dyDescent="0.25">
      <c r="A165" s="176">
        <f t="shared" si="34"/>
        <v>108</v>
      </c>
      <c r="B165" s="175" t="s">
        <v>1477</v>
      </c>
      <c r="C165" s="74" t="str">
        <f t="shared" si="26"/>
        <v>Conectores y uniones</v>
      </c>
      <c r="D165" s="148" t="str">
        <f t="shared" si="27"/>
        <v>u</v>
      </c>
      <c r="E165" s="110"/>
      <c r="F165" s="145"/>
      <c r="G165" s="144" t="s">
        <v>1449</v>
      </c>
      <c r="H165" s="149" t="s">
        <v>1143</v>
      </c>
      <c r="I165" s="137"/>
      <c r="J165" s="144"/>
    </row>
    <row r="166" spans="1:10" x14ac:dyDescent="0.25">
      <c r="A166" s="176">
        <f t="shared" si="34"/>
        <v>109</v>
      </c>
      <c r="B166" s="175" t="s">
        <v>1478</v>
      </c>
      <c r="C166" s="74" t="str">
        <f t="shared" si="26"/>
        <v>Subterraneo</v>
      </c>
      <c r="D166" s="148" t="str">
        <f t="shared" si="27"/>
        <v>u</v>
      </c>
      <c r="E166" s="110"/>
      <c r="F166" s="145"/>
      <c r="G166" s="144" t="s">
        <v>1450</v>
      </c>
      <c r="H166" s="149" t="s">
        <v>1143</v>
      </c>
      <c r="I166" s="137"/>
      <c r="J166" s="144"/>
    </row>
    <row r="167" spans="1:10" x14ac:dyDescent="0.25">
      <c r="A167" s="176">
        <f t="shared" si="34"/>
        <v>110</v>
      </c>
      <c r="B167" s="175" t="s">
        <v>1479</v>
      </c>
      <c r="C167" s="74" t="str">
        <f t="shared" si="26"/>
        <v>Subestaciones (Torre)</v>
      </c>
      <c r="D167" s="148" t="str">
        <f t="shared" si="27"/>
        <v>u</v>
      </c>
      <c r="E167" s="110"/>
      <c r="F167" s="145"/>
      <c r="G167" s="144" t="s">
        <v>1506</v>
      </c>
      <c r="H167" s="149" t="s">
        <v>1143</v>
      </c>
      <c r="I167" s="137"/>
      <c r="J167" s="144"/>
    </row>
    <row r="168" spans="1:10" x14ac:dyDescent="0.25">
      <c r="A168" s="176">
        <f t="shared" si="34"/>
        <v>111</v>
      </c>
      <c r="B168" s="175" t="s">
        <v>1508</v>
      </c>
      <c r="C168" s="74" t="str">
        <f t="shared" ref="C168" si="35">IFERROR(VLOOKUP(J168,Tabla_Items,2,FALSE),G168)</f>
        <v>Subestaciones (Alas)</v>
      </c>
      <c r="D168" s="148" t="str">
        <f t="shared" ref="D168" si="36">IFERROR(VLOOKUP(J168,Tabla_Items,2,FALSE),H168)</f>
        <v>u</v>
      </c>
      <c r="E168" s="110"/>
      <c r="F168" s="145"/>
      <c r="G168" s="144" t="s">
        <v>1507</v>
      </c>
      <c r="H168" s="149" t="s">
        <v>1143</v>
      </c>
      <c r="I168" s="137"/>
      <c r="J168" s="144"/>
    </row>
    <row r="169" spans="1:10" x14ac:dyDescent="0.25">
      <c r="A169" s="176">
        <f t="shared" si="34"/>
        <v>111</v>
      </c>
      <c r="B169" s="175">
        <v>22</v>
      </c>
      <c r="C169" s="74" t="str">
        <f t="shared" si="26"/>
        <v>ESPACIOS COMUNES - INSTALACIONES SANITARIAS</v>
      </c>
      <c r="D169" s="148">
        <f t="shared" si="27"/>
        <v>0</v>
      </c>
      <c r="E169" s="110"/>
      <c r="F169" s="145"/>
      <c r="G169" s="144" t="s">
        <v>1504</v>
      </c>
      <c r="H169" s="149"/>
      <c r="I169" s="137"/>
      <c r="J169" s="144"/>
    </row>
    <row r="170" spans="1:10" x14ac:dyDescent="0.25">
      <c r="A170" s="176">
        <f t="shared" si="34"/>
        <v>112</v>
      </c>
      <c r="B170" s="175" t="s">
        <v>1480</v>
      </c>
      <c r="C170" s="74" t="str">
        <f t="shared" ref="C170:C189" si="37">IFERROR(VLOOKUP(J170,Tabla_Items,2,FALSE),G170)</f>
        <v>Caño Ø160</v>
      </c>
      <c r="D170" s="148" t="str">
        <f t="shared" ref="D170:D189" si="38">IFERROR(VLOOKUP(J170,Tabla_Items,2,FALSE),H170)</f>
        <v>ml</v>
      </c>
      <c r="E170" s="110"/>
      <c r="F170" s="145"/>
      <c r="G170" s="144" t="s">
        <v>1451</v>
      </c>
      <c r="H170" s="149" t="s">
        <v>724</v>
      </c>
      <c r="I170" s="137"/>
      <c r="J170" s="144"/>
    </row>
    <row r="171" spans="1:10" x14ac:dyDescent="0.25">
      <c r="A171" s="176">
        <f t="shared" si="34"/>
        <v>113</v>
      </c>
      <c r="B171" s="175" t="s">
        <v>1481</v>
      </c>
      <c r="C171" s="74" t="str">
        <f t="shared" si="37"/>
        <v>Caño Ø110</v>
      </c>
      <c r="D171" s="148" t="str">
        <f t="shared" si="38"/>
        <v>ml</v>
      </c>
      <c r="E171" s="110"/>
      <c r="F171" s="145"/>
      <c r="G171" s="144" t="s">
        <v>1452</v>
      </c>
      <c r="H171" s="149" t="s">
        <v>724</v>
      </c>
      <c r="I171" s="137"/>
      <c r="J171" s="144"/>
    </row>
    <row r="172" spans="1:10" x14ac:dyDescent="0.25">
      <c r="A172" s="176">
        <f t="shared" si="34"/>
        <v>114</v>
      </c>
      <c r="B172" s="175" t="s">
        <v>1482</v>
      </c>
      <c r="C172" s="74" t="str">
        <f t="shared" si="37"/>
        <v>Cámara de inspección 60x60</v>
      </c>
      <c r="D172" s="148" t="str">
        <f t="shared" si="38"/>
        <v>u</v>
      </c>
      <c r="E172" s="110"/>
      <c r="F172" s="145"/>
      <c r="G172" s="144" t="s">
        <v>1453</v>
      </c>
      <c r="H172" s="149" t="s">
        <v>1143</v>
      </c>
      <c r="I172" s="137"/>
      <c r="J172" s="144"/>
    </row>
    <row r="173" spans="1:10" x14ac:dyDescent="0.25">
      <c r="A173" s="176">
        <f t="shared" si="34"/>
        <v>115</v>
      </c>
      <c r="B173" s="175" t="s">
        <v>1483</v>
      </c>
      <c r="C173" s="74" t="str">
        <f t="shared" si="37"/>
        <v>Ramal Y Ø110</v>
      </c>
      <c r="D173" s="148" t="str">
        <f t="shared" si="38"/>
        <v>u</v>
      </c>
      <c r="E173" s="110"/>
      <c r="F173" s="145"/>
      <c r="G173" s="144" t="s">
        <v>1454</v>
      </c>
      <c r="H173" s="149" t="s">
        <v>1143</v>
      </c>
      <c r="I173" s="137"/>
      <c r="J173" s="144"/>
    </row>
    <row r="174" spans="1:10" x14ac:dyDescent="0.25">
      <c r="A174" s="176">
        <f t="shared" si="34"/>
        <v>116</v>
      </c>
      <c r="B174" s="175" t="s">
        <v>1484</v>
      </c>
      <c r="C174" s="74" t="str">
        <f t="shared" si="37"/>
        <v>Codo a 90° Ø110</v>
      </c>
      <c r="D174" s="148" t="str">
        <f t="shared" si="38"/>
        <v>u</v>
      </c>
      <c r="E174" s="110"/>
      <c r="F174" s="145"/>
      <c r="G174" s="144" t="s">
        <v>1455</v>
      </c>
      <c r="H174" s="149" t="s">
        <v>1143</v>
      </c>
      <c r="I174" s="137"/>
      <c r="J174" s="144"/>
    </row>
    <row r="175" spans="1:10" x14ac:dyDescent="0.25">
      <c r="A175" s="176">
        <f t="shared" si="34"/>
        <v>116</v>
      </c>
      <c r="B175" s="175">
        <v>23</v>
      </c>
      <c r="C175" s="74" t="str">
        <f t="shared" si="37"/>
        <v>ESPACIOS COMUNES - CONEXIONES TANQUE Y CISTERNA</v>
      </c>
      <c r="D175" s="148">
        <f t="shared" si="38"/>
        <v>0</v>
      </c>
      <c r="E175" s="110"/>
      <c r="F175" s="145"/>
      <c r="G175" s="144" t="s">
        <v>1505</v>
      </c>
      <c r="H175" s="149"/>
      <c r="I175" s="137"/>
      <c r="J175" s="144"/>
    </row>
    <row r="176" spans="1:10" x14ac:dyDescent="0.25">
      <c r="A176" s="176">
        <f t="shared" si="34"/>
        <v>117</v>
      </c>
      <c r="B176" s="175" t="s">
        <v>1485</v>
      </c>
      <c r="C176" s="74" t="str">
        <f t="shared" si="37"/>
        <v>Conexiones domiciliarias PEAD PN 16 Ø25 (incluye accesorios y kit de conexión)</v>
      </c>
      <c r="D176" s="148" t="str">
        <f t="shared" si="38"/>
        <v>u</v>
      </c>
      <c r="E176" s="110"/>
      <c r="F176" s="145"/>
      <c r="G176" s="144" t="s">
        <v>1456</v>
      </c>
      <c r="H176" s="149" t="s">
        <v>1143</v>
      </c>
      <c r="I176" s="137"/>
      <c r="J176" s="144"/>
    </row>
    <row r="177" spans="1:10" x14ac:dyDescent="0.25">
      <c r="A177" s="176">
        <f t="shared" si="34"/>
        <v>118</v>
      </c>
      <c r="B177" s="175" t="s">
        <v>1486</v>
      </c>
      <c r="C177" s="74" t="str">
        <f t="shared" si="37"/>
        <v xml:space="preserve">Llaves de paso Ø25 </v>
      </c>
      <c r="D177" s="148" t="str">
        <f t="shared" si="38"/>
        <v>u</v>
      </c>
      <c r="E177" s="110"/>
      <c r="F177" s="145"/>
      <c r="G177" s="144" t="s">
        <v>1457</v>
      </c>
      <c r="H177" s="149" t="s">
        <v>1143</v>
      </c>
      <c r="I177" s="137"/>
      <c r="J177" s="144"/>
    </row>
    <row r="178" spans="1:10" x14ac:dyDescent="0.25">
      <c r="A178" s="176">
        <f t="shared" si="34"/>
        <v>119</v>
      </c>
      <c r="B178" s="175" t="s">
        <v>1487</v>
      </c>
      <c r="C178" s="74" t="str">
        <f t="shared" si="37"/>
        <v>Cañería PPL Ø25 (incluye accesorios)</v>
      </c>
      <c r="D178" s="148" t="str">
        <f t="shared" si="38"/>
        <v>ml</v>
      </c>
      <c r="E178" s="110"/>
      <c r="F178" s="145"/>
      <c r="G178" s="144" t="s">
        <v>1458</v>
      </c>
      <c r="H178" s="149" t="s">
        <v>724</v>
      </c>
      <c r="I178" s="137"/>
      <c r="J178" s="144"/>
    </row>
    <row r="179" spans="1:10" x14ac:dyDescent="0.25">
      <c r="A179" s="176">
        <f t="shared" si="34"/>
        <v>120</v>
      </c>
      <c r="B179" s="175">
        <v>24</v>
      </c>
      <c r="C179" s="74" t="str">
        <f t="shared" si="37"/>
        <v>Elaboración de Proyecto Ejecutivo</v>
      </c>
      <c r="D179" s="148" t="str">
        <f t="shared" si="38"/>
        <v>gl</v>
      </c>
      <c r="E179" s="110"/>
      <c r="F179" s="145"/>
      <c r="G179" s="144" t="s">
        <v>1544</v>
      </c>
      <c r="H179" s="149" t="s">
        <v>3</v>
      </c>
      <c r="I179" s="137"/>
      <c r="J179" s="144"/>
    </row>
    <row r="180" spans="1:10" x14ac:dyDescent="0.25">
      <c r="A180" s="176">
        <f t="shared" si="34"/>
        <v>120</v>
      </c>
      <c r="B180" s="175"/>
      <c r="C180" s="74">
        <f t="shared" si="37"/>
        <v>0</v>
      </c>
      <c r="D180" s="148">
        <f t="shared" si="38"/>
        <v>0</v>
      </c>
      <c r="E180" s="110"/>
      <c r="F180" s="145"/>
      <c r="G180" s="144"/>
      <c r="H180" s="149"/>
      <c r="I180" s="137"/>
      <c r="J180" s="144"/>
    </row>
    <row r="181" spans="1:10" x14ac:dyDescent="0.25">
      <c r="A181" s="176">
        <f t="shared" si="34"/>
        <v>120</v>
      </c>
      <c r="B181" s="175"/>
      <c r="C181" s="74">
        <f t="shared" si="37"/>
        <v>0</v>
      </c>
      <c r="D181" s="148">
        <f t="shared" si="38"/>
        <v>0</v>
      </c>
      <c r="E181" s="110"/>
      <c r="F181" s="145"/>
      <c r="G181" s="144"/>
      <c r="H181" s="149"/>
      <c r="I181" s="137"/>
      <c r="J181" s="144"/>
    </row>
    <row r="182" spans="1:10" x14ac:dyDescent="0.25">
      <c r="A182" s="176">
        <f t="shared" si="34"/>
        <v>120</v>
      </c>
      <c r="B182" s="175"/>
      <c r="C182" s="74">
        <f t="shared" si="37"/>
        <v>0</v>
      </c>
      <c r="D182" s="148">
        <f t="shared" si="38"/>
        <v>0</v>
      </c>
      <c r="E182" s="110"/>
      <c r="F182" s="145"/>
      <c r="G182" s="144"/>
      <c r="H182" s="149"/>
      <c r="I182" s="137"/>
      <c r="J182" s="144"/>
    </row>
    <row r="183" spans="1:10" x14ac:dyDescent="0.25">
      <c r="A183" s="176">
        <f t="shared" si="34"/>
        <v>120</v>
      </c>
      <c r="B183" s="175"/>
      <c r="C183" s="74">
        <f t="shared" si="37"/>
        <v>0</v>
      </c>
      <c r="D183" s="148">
        <f t="shared" si="38"/>
        <v>0</v>
      </c>
      <c r="E183" s="110"/>
      <c r="F183" s="145"/>
      <c r="G183" s="144"/>
      <c r="H183" s="149"/>
      <c r="I183" s="137"/>
      <c r="J183" s="144"/>
    </row>
    <row r="184" spans="1:10" x14ac:dyDescent="0.25">
      <c r="A184" s="176">
        <f t="shared" si="34"/>
        <v>120</v>
      </c>
      <c r="B184" s="175"/>
      <c r="C184" s="74">
        <f t="shared" si="37"/>
        <v>0</v>
      </c>
      <c r="D184" s="148">
        <f t="shared" si="38"/>
        <v>0</v>
      </c>
      <c r="E184" s="110"/>
      <c r="F184" s="145"/>
      <c r="G184" s="144"/>
      <c r="H184" s="149"/>
      <c r="I184" s="137"/>
      <c r="J184" s="144"/>
    </row>
    <row r="185" spans="1:10" x14ac:dyDescent="0.25">
      <c r="A185" s="176">
        <f t="shared" ref="A185:A189" si="39">IF(D185=0,A184,A184+1)</f>
        <v>120</v>
      </c>
      <c r="B185" s="175"/>
      <c r="C185" s="74">
        <f t="shared" si="37"/>
        <v>0</v>
      </c>
      <c r="D185" s="148">
        <f t="shared" si="38"/>
        <v>0</v>
      </c>
      <c r="E185" s="110"/>
      <c r="F185" s="145"/>
      <c r="G185" s="144"/>
      <c r="H185" s="149"/>
      <c r="I185" s="137"/>
      <c r="J185" s="144"/>
    </row>
    <row r="186" spans="1:10" x14ac:dyDescent="0.25">
      <c r="A186" s="176">
        <f t="shared" si="39"/>
        <v>120</v>
      </c>
      <c r="B186" s="175"/>
      <c r="C186" s="74">
        <f t="shared" si="37"/>
        <v>0</v>
      </c>
      <c r="D186" s="148">
        <f t="shared" si="38"/>
        <v>0</v>
      </c>
      <c r="E186" s="110"/>
      <c r="F186" s="145"/>
      <c r="G186" s="144"/>
      <c r="H186" s="149"/>
      <c r="I186" s="137"/>
      <c r="J186" s="144"/>
    </row>
    <row r="187" spans="1:10" x14ac:dyDescent="0.25">
      <c r="A187" s="176">
        <f t="shared" si="39"/>
        <v>120</v>
      </c>
      <c r="B187" s="175"/>
      <c r="C187" s="74">
        <f t="shared" si="37"/>
        <v>0</v>
      </c>
      <c r="D187" s="148">
        <f t="shared" si="38"/>
        <v>0</v>
      </c>
      <c r="E187" s="110"/>
      <c r="F187" s="145"/>
      <c r="G187" s="144"/>
      <c r="H187" s="149"/>
      <c r="I187" s="137"/>
      <c r="J187" s="144"/>
    </row>
    <row r="188" spans="1:10" x14ac:dyDescent="0.25">
      <c r="A188" s="176">
        <f t="shared" si="39"/>
        <v>120</v>
      </c>
      <c r="B188" s="175"/>
      <c r="C188" s="74">
        <f t="shared" si="37"/>
        <v>0</v>
      </c>
      <c r="D188" s="148">
        <f t="shared" si="38"/>
        <v>0</v>
      </c>
      <c r="E188" s="110"/>
      <c r="F188" s="145"/>
      <c r="G188" s="144"/>
      <c r="H188" s="149"/>
      <c r="I188" s="137"/>
      <c r="J188" s="144"/>
    </row>
    <row r="189" spans="1:10" x14ac:dyDescent="0.25">
      <c r="A189" s="176">
        <f t="shared" si="39"/>
        <v>120</v>
      </c>
      <c r="B189" s="175"/>
      <c r="C189" s="74">
        <f t="shared" si="37"/>
        <v>0</v>
      </c>
      <c r="D189" s="148">
        <f t="shared" si="38"/>
        <v>0</v>
      </c>
      <c r="E189" s="110"/>
      <c r="F189" s="145"/>
      <c r="G189" s="144"/>
      <c r="H189" s="149"/>
      <c r="I189" s="137"/>
      <c r="J189" s="144"/>
    </row>
  </sheetData>
  <phoneticPr fontId="45" type="noConversion"/>
  <printOptions horizontalCentered="1"/>
  <pageMargins left="0.19685039370078741" right="0.19685039370078741" top="0.19685039370078741" bottom="0.19685039370078741" header="0.11811023622047245" footer="0"/>
  <pageSetup paperSize="5" scale="7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topLeftCell="A16" workbookViewId="0">
      <selection activeCell="L12" sqref="L12"/>
    </sheetView>
  </sheetViews>
  <sheetFormatPr baseColWidth="10" defaultRowHeight="13.2" x14ac:dyDescent="0.25"/>
  <cols>
    <col min="1" max="1" width="18.5546875" customWidth="1"/>
    <col min="2" max="2" width="62.33203125" customWidth="1"/>
    <col min="3" max="3" width="18.33203125" customWidth="1"/>
    <col min="4" max="4" width="17.88671875" customWidth="1"/>
    <col min="5" max="5" width="22" customWidth="1"/>
    <col min="6" max="6" width="22.109375" customWidth="1"/>
  </cols>
  <sheetData>
    <row r="1" spans="1:6" ht="23.1" customHeight="1" x14ac:dyDescent="0.25">
      <c r="A1" s="587" t="s">
        <v>1251</v>
      </c>
      <c r="B1" s="587"/>
      <c r="C1" s="587"/>
      <c r="D1" s="587"/>
      <c r="E1" s="587"/>
      <c r="F1" s="587"/>
    </row>
    <row r="2" spans="1:6" ht="23.1" customHeight="1" x14ac:dyDescent="0.25">
      <c r="A2" s="94" t="s">
        <v>1230</v>
      </c>
      <c r="B2" s="93" t="str">
        <f>Obra</f>
        <v>LA NAVE - 103 DEPARTAMENTOS - CAPITAL</v>
      </c>
      <c r="C2" s="150"/>
      <c r="D2" s="95"/>
      <c r="E2" s="95"/>
      <c r="F2" s="95"/>
    </row>
    <row r="3" spans="1:6" ht="23.1" customHeight="1" x14ac:dyDescent="0.25">
      <c r="A3" s="94" t="s">
        <v>1231</v>
      </c>
      <c r="B3" s="93" t="str">
        <f>Ubicación</f>
        <v>CAPITAL</v>
      </c>
      <c r="C3" s="95"/>
      <c r="D3" s="95"/>
      <c r="E3" s="95"/>
      <c r="F3" s="95"/>
    </row>
    <row r="4" spans="1:6" ht="23.1" customHeight="1" x14ac:dyDescent="0.25">
      <c r="A4" s="94" t="s">
        <v>1127</v>
      </c>
      <c r="B4" s="98" t="s">
        <v>1540</v>
      </c>
      <c r="C4" s="94"/>
      <c r="D4" s="95"/>
      <c r="E4" s="95"/>
      <c r="F4" s="95"/>
    </row>
    <row r="5" spans="1:6" ht="23.1" customHeight="1" x14ac:dyDescent="0.25">
      <c r="A5" s="94" t="s">
        <v>1156</v>
      </c>
      <c r="B5" s="338">
        <v>1</v>
      </c>
      <c r="C5" s="94"/>
      <c r="D5" s="95"/>
      <c r="E5" s="95"/>
      <c r="F5" s="95"/>
    </row>
    <row r="6" spans="1:6" ht="23.1" customHeight="1" x14ac:dyDescent="0.25">
      <c r="A6" s="132"/>
      <c r="B6" s="135"/>
      <c r="C6" s="132"/>
      <c r="D6" s="132"/>
      <c r="E6" s="132"/>
      <c r="F6" s="132"/>
    </row>
    <row r="7" spans="1:6" ht="23.1" customHeight="1" x14ac:dyDescent="0.25">
      <c r="A7" s="588" t="s">
        <v>1105</v>
      </c>
      <c r="B7" s="590" t="s">
        <v>0</v>
      </c>
      <c r="C7" s="588" t="s">
        <v>1</v>
      </c>
      <c r="D7" s="588" t="s">
        <v>2</v>
      </c>
      <c r="E7" s="588" t="s">
        <v>1148</v>
      </c>
      <c r="F7" s="588" t="s">
        <v>1157</v>
      </c>
    </row>
    <row r="8" spans="1:6" ht="23.1" customHeight="1" x14ac:dyDescent="0.25">
      <c r="A8" s="589"/>
      <c r="B8" s="591"/>
      <c r="C8" s="589"/>
      <c r="D8" s="589"/>
      <c r="E8" s="589"/>
      <c r="F8" s="589"/>
    </row>
    <row r="9" spans="1:6" ht="23.1" customHeight="1" x14ac:dyDescent="0.25">
      <c r="A9" s="198"/>
      <c r="B9" s="136"/>
      <c r="C9" s="140"/>
      <c r="D9" s="140"/>
      <c r="E9" s="200"/>
      <c r="F9" s="201"/>
    </row>
    <row r="10" spans="1:6" ht="23.1" customHeight="1" x14ac:dyDescent="0.25">
      <c r="A10" s="223" t="s">
        <v>1124</v>
      </c>
      <c r="B10" s="224" t="str">
        <f t="shared" ref="B10:B31" si="0">IFERROR(VLOOKUP(A10,Tabla_Datos,2,FALSE),0)</f>
        <v>DEPARTAMENTOS</v>
      </c>
      <c r="C10" s="225"/>
      <c r="D10" s="226"/>
      <c r="E10" s="227"/>
      <c r="F10" s="227"/>
    </row>
    <row r="11" spans="1:6" ht="23.1" customHeight="1" x14ac:dyDescent="0.25">
      <c r="A11" s="513">
        <v>20</v>
      </c>
      <c r="B11" s="454" t="str">
        <f t="shared" si="0"/>
        <v>ESTRUCTURA RESISTENTE</v>
      </c>
      <c r="C11" s="455"/>
      <c r="D11" s="485"/>
      <c r="E11" s="487"/>
      <c r="F11" s="487"/>
    </row>
    <row r="12" spans="1:6" ht="23.1" customHeight="1" x14ac:dyDescent="0.25">
      <c r="A12" s="513" t="s">
        <v>1261</v>
      </c>
      <c r="B12" s="454" t="str">
        <f t="shared" si="0"/>
        <v>Contrapisos de H° A° - Esp. 0,10m. (incluye solo Torre con 9 niveles)</v>
      </c>
      <c r="C12" s="455" t="str">
        <f t="shared" ref="C12:C31" si="1">IFERROR(VLOOKUP(A12,Tabla_Datos,3,FALSE),0)</f>
        <v>m2</v>
      </c>
      <c r="D12" s="485">
        <v>668</v>
      </c>
      <c r="E12" s="487">
        <f t="shared" ref="E12:E31" si="2">IFERROR(VLOOKUP(A12,Tabla_Comp_Presup,7,FALSE),0)</f>
        <v>0</v>
      </c>
      <c r="F12" s="487">
        <f t="shared" ref="F12:F31" si="3">ROUND(D12*E12,15)</f>
        <v>0</v>
      </c>
    </row>
    <row r="13" spans="1:6" ht="23.1" customHeight="1" x14ac:dyDescent="0.25">
      <c r="A13" s="513" t="s">
        <v>1459</v>
      </c>
      <c r="B13" s="454" t="str">
        <f t="shared" si="0"/>
        <v>Contrapisos de H° A° - Esp. 0,10m. (incluye Estacionamientos, Sala de Máquinas y Bombeo en Subsuelo)</v>
      </c>
      <c r="C13" s="455" t="str">
        <f t="shared" si="1"/>
        <v>m2</v>
      </c>
      <c r="D13" s="485">
        <v>0</v>
      </c>
      <c r="E13" s="487">
        <f t="shared" si="2"/>
        <v>0</v>
      </c>
      <c r="F13" s="487">
        <f t="shared" si="3"/>
        <v>0</v>
      </c>
    </row>
    <row r="14" spans="1:6" ht="23.1" customHeight="1" x14ac:dyDescent="0.25">
      <c r="A14" s="513" t="s">
        <v>1460</v>
      </c>
      <c r="B14" s="454" t="str">
        <f t="shared" si="0"/>
        <v>Contrapisos de H° A° - Esp. 0,10m. (incluye solo Bloque Sur y Bloque Oeste con 5 niveles)</v>
      </c>
      <c r="C14" s="455" t="str">
        <f t="shared" si="1"/>
        <v>m2</v>
      </c>
      <c r="D14" s="485">
        <v>0</v>
      </c>
      <c r="E14" s="487">
        <f t="shared" si="2"/>
        <v>0</v>
      </c>
      <c r="F14" s="487">
        <f t="shared" si="3"/>
        <v>0</v>
      </c>
    </row>
    <row r="15" spans="1:6" ht="23.1" customHeight="1" x14ac:dyDescent="0.25">
      <c r="A15" s="513" t="s">
        <v>1461</v>
      </c>
      <c r="B15" s="454" t="str">
        <f t="shared" si="0"/>
        <v>Escalera de H° A° (incluye solo Torre con 9 niveles)</v>
      </c>
      <c r="C15" s="455" t="str">
        <f t="shared" si="1"/>
        <v>m2</v>
      </c>
      <c r="D15" s="485">
        <v>215.67</v>
      </c>
      <c r="E15" s="487">
        <f t="shared" si="2"/>
        <v>0</v>
      </c>
      <c r="F15" s="487">
        <f t="shared" si="3"/>
        <v>0</v>
      </c>
    </row>
    <row r="16" spans="1:6" ht="23.1" customHeight="1" x14ac:dyDescent="0.25">
      <c r="A16" s="513" t="s">
        <v>1462</v>
      </c>
      <c r="B16" s="454" t="str">
        <f t="shared" si="0"/>
        <v>Escalera de H° A° (incluye solo Bloque Sur y Bloque Oeste con 5 niveles)</v>
      </c>
      <c r="C16" s="455" t="str">
        <f t="shared" si="1"/>
        <v>m2</v>
      </c>
      <c r="D16" s="485">
        <v>0</v>
      </c>
      <c r="E16" s="487">
        <f t="shared" si="2"/>
        <v>0</v>
      </c>
      <c r="F16" s="487">
        <f t="shared" si="3"/>
        <v>0</v>
      </c>
    </row>
    <row r="17" spans="1:6" ht="23.1" customHeight="1" x14ac:dyDescent="0.25">
      <c r="A17" s="513" t="s">
        <v>1463</v>
      </c>
      <c r="B17" s="454" t="str">
        <f t="shared" si="0"/>
        <v>Pisos</v>
      </c>
      <c r="C17" s="455" t="str">
        <f t="shared" si="1"/>
        <v>m2</v>
      </c>
      <c r="D17" s="485">
        <v>100.25</v>
      </c>
      <c r="E17" s="487">
        <f t="shared" si="2"/>
        <v>0</v>
      </c>
      <c r="F17" s="487">
        <f>ROUND(D17*E17,15)</f>
        <v>0</v>
      </c>
    </row>
    <row r="18" spans="1:6" ht="23.1" customHeight="1" x14ac:dyDescent="0.25">
      <c r="A18" s="513" t="s">
        <v>1464</v>
      </c>
      <c r="B18" s="454" t="str">
        <f t="shared" si="0"/>
        <v>Areas verdes (gramineas) en panes (incluye todo los espacios verdes del predio Planta Baja y Subsuelo)</v>
      </c>
      <c r="C18" s="455" t="str">
        <f t="shared" si="1"/>
        <v>m2</v>
      </c>
      <c r="D18" s="485">
        <v>947.4</v>
      </c>
      <c r="E18" s="487">
        <f t="shared" si="2"/>
        <v>0</v>
      </c>
      <c r="F18" s="487">
        <f>ROUND(D18*E18,15)</f>
        <v>0</v>
      </c>
    </row>
    <row r="19" spans="1:6" ht="23.1" customHeight="1" x14ac:dyDescent="0.25">
      <c r="A19" s="513" t="s">
        <v>1465</v>
      </c>
      <c r="B19" s="454" t="str">
        <f t="shared" si="0"/>
        <v>Especies arbóreas (incluyen todas las que se encuentran en el predio Planta Baja y Subsuelo)</v>
      </c>
      <c r="C19" s="455" t="str">
        <f t="shared" si="1"/>
        <v>u</v>
      </c>
      <c r="D19" s="485">
        <v>11</v>
      </c>
      <c r="E19" s="487">
        <f t="shared" si="2"/>
        <v>0</v>
      </c>
      <c r="F19" s="487">
        <f t="shared" si="3"/>
        <v>0</v>
      </c>
    </row>
    <row r="20" spans="1:6" ht="23.1" customHeight="1" x14ac:dyDescent="0.25">
      <c r="A20" s="513" t="s">
        <v>1466</v>
      </c>
      <c r="B20" s="454" t="str">
        <f>IFERROR(VLOOKUP(A20,Tabla_Datos,2,FALSE),0)</f>
        <v>Rampas Vehiculares (Planta Baja-Subsuelo)</v>
      </c>
      <c r="C20" s="455" t="str">
        <f>IFERROR(VLOOKUP(A20,Tabla_Datos,3,FALSE),0)</f>
        <v>m2</v>
      </c>
      <c r="D20" s="485">
        <v>148.94999999999999</v>
      </c>
      <c r="E20" s="487">
        <f>IFERROR(VLOOKUP(A20,Tabla_Comp_Presup,7,FALSE),0)</f>
        <v>0</v>
      </c>
      <c r="F20" s="487">
        <f>ROUND(D20*E20,15)</f>
        <v>0</v>
      </c>
    </row>
    <row r="21" spans="1:6" ht="23.1" customHeight="1" x14ac:dyDescent="0.25">
      <c r="A21" s="513" t="s">
        <v>1467</v>
      </c>
      <c r="B21" s="454" t="str">
        <f>IFERROR(VLOOKUP(A21,Tabla_Datos,2,FALSE),0)</f>
        <v>Rampas Peatonales (Planta Baja)</v>
      </c>
      <c r="C21" s="455" t="str">
        <f>IFERROR(VLOOKUP(A21,Tabla_Datos,3,FALSE),0)</f>
        <v>m2</v>
      </c>
      <c r="D21" s="485">
        <v>107.04</v>
      </c>
      <c r="E21" s="487">
        <f>IFERROR(VLOOKUP(A21,Tabla_Comp_Presup,7,FALSE),0)</f>
        <v>0</v>
      </c>
      <c r="F21" s="487">
        <f>ROUND(D21*E21,15)</f>
        <v>0</v>
      </c>
    </row>
    <row r="22" spans="1:6" ht="23.1" customHeight="1" x14ac:dyDescent="0.25">
      <c r="A22" s="513" t="s">
        <v>1468</v>
      </c>
      <c r="B22" s="454" t="str">
        <f>IFERROR(VLOOKUP(A22,Tabla_Datos,2,FALSE),0)</f>
        <v>Pisos de hormigón llaneado y rodillado (Senderos) (incluye en todo el predio de Planta Baja)</v>
      </c>
      <c r="C22" s="455" t="str">
        <f>IFERROR(VLOOKUP(A22,Tabla_Datos,3,FALSE),0)</f>
        <v>m2</v>
      </c>
      <c r="D22" s="485">
        <v>945.21</v>
      </c>
      <c r="E22" s="487">
        <f>IFERROR(VLOOKUP(A22,Tabla_Comp_Presup,7,FALSE),0)</f>
        <v>0</v>
      </c>
      <c r="F22" s="487">
        <f>ROUND(D22*E22,15)</f>
        <v>0</v>
      </c>
    </row>
    <row r="23" spans="1:6" ht="23.1" customHeight="1" x14ac:dyDescent="0.25">
      <c r="A23" s="513" t="s">
        <v>1469</v>
      </c>
      <c r="B23" s="454" t="str">
        <f t="shared" si="0"/>
        <v>Barandas metálicas en escaleras, rampas peatonales, balcones y pasillos</v>
      </c>
      <c r="C23" s="455" t="str">
        <f t="shared" si="1"/>
        <v>ml</v>
      </c>
      <c r="D23" s="485">
        <v>395.18</v>
      </c>
      <c r="E23" s="487">
        <f t="shared" si="2"/>
        <v>0</v>
      </c>
      <c r="F23" s="487">
        <f t="shared" si="3"/>
        <v>0</v>
      </c>
    </row>
    <row r="24" spans="1:6" ht="23.1" customHeight="1" x14ac:dyDescent="0.25">
      <c r="A24" s="513" t="s">
        <v>1470</v>
      </c>
      <c r="B24" s="454" t="str">
        <f t="shared" si="0"/>
        <v>Cajas de Escalera y Ascensor (Torre 9 niveles)</v>
      </c>
      <c r="C24" s="455" t="str">
        <f t="shared" si="1"/>
        <v>u</v>
      </c>
      <c r="D24" s="485">
        <v>1</v>
      </c>
      <c r="E24" s="487">
        <f t="shared" si="2"/>
        <v>0</v>
      </c>
      <c r="F24" s="487">
        <f t="shared" si="3"/>
        <v>0</v>
      </c>
    </row>
    <row r="25" spans="1:6" ht="23.1" customHeight="1" x14ac:dyDescent="0.25">
      <c r="A25" s="513" t="s">
        <v>1493</v>
      </c>
      <c r="B25" s="454" t="str">
        <f t="shared" ref="B25:B26" si="4">IFERROR(VLOOKUP(A25,Tabla_Datos,2,FALSE),0)</f>
        <v>Cajas de Escalera y Ascensor (Alas 5 niveles)</v>
      </c>
      <c r="C25" s="455" t="str">
        <f t="shared" ref="C25:C26" si="5">IFERROR(VLOOKUP(A25,Tabla_Datos,3,FALSE),0)</f>
        <v>u</v>
      </c>
      <c r="D25" s="485">
        <v>0</v>
      </c>
      <c r="E25" s="487">
        <f t="shared" ref="E25:E26" si="6">IFERROR(VLOOKUP(A25,Tabla_Comp_Presup,7,FALSE),0)</f>
        <v>0</v>
      </c>
      <c r="F25" s="487">
        <f t="shared" ref="F25:F26" si="7">ROUND(D25*E25,15)</f>
        <v>0</v>
      </c>
    </row>
    <row r="26" spans="1:6" ht="23.1" customHeight="1" x14ac:dyDescent="0.25">
      <c r="A26" s="513" t="s">
        <v>1494</v>
      </c>
      <c r="B26" s="454" t="str">
        <f t="shared" si="4"/>
        <v>Bancos en espacios verdes (H° A° y listones de madera)</v>
      </c>
      <c r="C26" s="455" t="str">
        <f t="shared" si="5"/>
        <v>ml</v>
      </c>
      <c r="D26" s="485">
        <v>4.3499999999999996</v>
      </c>
      <c r="E26" s="487">
        <f t="shared" si="6"/>
        <v>0</v>
      </c>
      <c r="F26" s="487">
        <f t="shared" si="7"/>
        <v>0</v>
      </c>
    </row>
    <row r="27" spans="1:6" ht="23.1" customHeight="1" x14ac:dyDescent="0.25">
      <c r="A27" s="513">
        <v>21</v>
      </c>
      <c r="B27" s="454" t="str">
        <f t="shared" si="0"/>
        <v>ESPACIOS COMUNES - INSTALACION ELECTRICA</v>
      </c>
      <c r="C27" s="455"/>
      <c r="D27" s="485"/>
      <c r="E27" s="487"/>
      <c r="F27" s="487"/>
    </row>
    <row r="28" spans="1:6" ht="23.1" customHeight="1" x14ac:dyDescent="0.25">
      <c r="A28" s="513" t="s">
        <v>1471</v>
      </c>
      <c r="B28" s="454" t="str">
        <f t="shared" si="0"/>
        <v>Instalación eléctrica (Cableado)</v>
      </c>
      <c r="C28" s="455" t="str">
        <f t="shared" si="1"/>
        <v>ml</v>
      </c>
      <c r="D28" s="485">
        <v>3500</v>
      </c>
      <c r="E28" s="487">
        <f t="shared" si="2"/>
        <v>0</v>
      </c>
      <c r="F28" s="487">
        <f t="shared" si="3"/>
        <v>0</v>
      </c>
    </row>
    <row r="29" spans="1:6" ht="23.1" customHeight="1" x14ac:dyDescent="0.25">
      <c r="A29" s="513" t="s">
        <v>1472</v>
      </c>
      <c r="B29" s="454" t="str">
        <f t="shared" si="0"/>
        <v>Alimentación en baja tensión (Conexión a red, medidor y pilar reglam.)</v>
      </c>
      <c r="C29" s="455" t="str">
        <f t="shared" si="1"/>
        <v>u</v>
      </c>
      <c r="D29" s="485">
        <v>1</v>
      </c>
      <c r="E29" s="487">
        <f t="shared" si="2"/>
        <v>0</v>
      </c>
      <c r="F29" s="487">
        <f t="shared" si="3"/>
        <v>0</v>
      </c>
    </row>
    <row r="30" spans="1:6" ht="23.1" customHeight="1" x14ac:dyDescent="0.25">
      <c r="A30" s="513" t="s">
        <v>1473</v>
      </c>
      <c r="B30" s="454" t="str">
        <f t="shared" si="0"/>
        <v>Tablero principal</v>
      </c>
      <c r="C30" s="455" t="str">
        <f t="shared" si="1"/>
        <v>u</v>
      </c>
      <c r="D30" s="485">
        <v>8</v>
      </c>
      <c r="E30" s="487">
        <f t="shared" si="2"/>
        <v>0</v>
      </c>
      <c r="F30" s="487">
        <f t="shared" si="3"/>
        <v>0</v>
      </c>
    </row>
    <row r="31" spans="1:6" ht="23.1" customHeight="1" x14ac:dyDescent="0.25">
      <c r="A31" s="513" t="s">
        <v>1474</v>
      </c>
      <c r="B31" s="454" t="str">
        <f t="shared" si="0"/>
        <v>Bocas iluminación espacio comun</v>
      </c>
      <c r="C31" s="455" t="str">
        <f t="shared" si="1"/>
        <v>u</v>
      </c>
      <c r="D31" s="485">
        <v>222</v>
      </c>
      <c r="E31" s="487">
        <f t="shared" si="2"/>
        <v>0</v>
      </c>
      <c r="F31" s="487">
        <f t="shared" si="3"/>
        <v>0</v>
      </c>
    </row>
    <row r="32" spans="1:6" ht="23.1" customHeight="1" x14ac:dyDescent="0.25">
      <c r="A32" s="513" t="s">
        <v>1475</v>
      </c>
      <c r="B32" s="454" t="str">
        <f t="shared" ref="B32:B45" si="8">IFERROR(VLOOKUP(A32,Tabla_Datos,2,FALSE),0)</f>
        <v>Boca iluminacion espacio verde</v>
      </c>
      <c r="C32" s="455" t="str">
        <f t="shared" ref="C32:C45" si="9">IFERROR(VLOOKUP(A32,Tabla_Datos,3,FALSE),0)</f>
        <v>u</v>
      </c>
      <c r="D32" s="485">
        <v>44</v>
      </c>
      <c r="E32" s="487">
        <f t="shared" ref="E32:E45" si="10">IFERROR(VLOOKUP(A32,Tabla_Comp_Presup,7,FALSE),0)</f>
        <v>0</v>
      </c>
      <c r="F32" s="487">
        <f t="shared" ref="F32:F45" si="11">ROUND(D32*E32,15)</f>
        <v>0</v>
      </c>
    </row>
    <row r="33" spans="1:6" ht="23.1" customHeight="1" x14ac:dyDescent="0.25">
      <c r="A33" s="513" t="s">
        <v>1476</v>
      </c>
      <c r="B33" s="454" t="str">
        <f t="shared" si="8"/>
        <v>Cañerias</v>
      </c>
      <c r="C33" s="455" t="str">
        <f t="shared" si="9"/>
        <v>u</v>
      </c>
      <c r="D33" s="485">
        <v>1120</v>
      </c>
      <c r="E33" s="487">
        <f t="shared" si="10"/>
        <v>0</v>
      </c>
      <c r="F33" s="487">
        <f t="shared" si="11"/>
        <v>0</v>
      </c>
    </row>
    <row r="34" spans="1:6" ht="23.1" customHeight="1" x14ac:dyDescent="0.25">
      <c r="A34" s="513" t="s">
        <v>1477</v>
      </c>
      <c r="B34" s="454" t="str">
        <f t="shared" si="8"/>
        <v>Conectores y uniones</v>
      </c>
      <c r="C34" s="455" t="str">
        <f t="shared" si="9"/>
        <v>u</v>
      </c>
      <c r="D34" s="485">
        <v>500</v>
      </c>
      <c r="E34" s="487">
        <f t="shared" si="10"/>
        <v>0</v>
      </c>
      <c r="F34" s="487">
        <f t="shared" si="11"/>
        <v>0</v>
      </c>
    </row>
    <row r="35" spans="1:6" ht="23.1" customHeight="1" x14ac:dyDescent="0.25">
      <c r="A35" s="513" t="s">
        <v>1478</v>
      </c>
      <c r="B35" s="454" t="str">
        <f t="shared" si="8"/>
        <v>Subterraneo</v>
      </c>
      <c r="C35" s="455" t="str">
        <f t="shared" si="9"/>
        <v>u</v>
      </c>
      <c r="D35" s="485">
        <v>300</v>
      </c>
      <c r="E35" s="487">
        <f t="shared" si="10"/>
        <v>0</v>
      </c>
      <c r="F35" s="487">
        <f t="shared" si="11"/>
        <v>0</v>
      </c>
    </row>
    <row r="36" spans="1:6" ht="23.1" customHeight="1" x14ac:dyDescent="0.25">
      <c r="A36" s="513" t="s">
        <v>1479</v>
      </c>
      <c r="B36" s="454" t="str">
        <f t="shared" si="8"/>
        <v>Subestaciones (Torre)</v>
      </c>
      <c r="C36" s="455" t="str">
        <f t="shared" si="9"/>
        <v>u</v>
      </c>
      <c r="D36" s="485">
        <v>2</v>
      </c>
      <c r="E36" s="487">
        <f t="shared" si="10"/>
        <v>0</v>
      </c>
      <c r="F36" s="487">
        <f t="shared" si="11"/>
        <v>0</v>
      </c>
    </row>
    <row r="37" spans="1:6" ht="23.1" customHeight="1" x14ac:dyDescent="0.25">
      <c r="A37" s="513" t="s">
        <v>1508</v>
      </c>
      <c r="B37" s="454" t="str">
        <f t="shared" ref="B37" si="12">IFERROR(VLOOKUP(A37,Tabla_Datos,2,FALSE),0)</f>
        <v>Subestaciones (Alas)</v>
      </c>
      <c r="C37" s="455" t="str">
        <f t="shared" ref="C37" si="13">IFERROR(VLOOKUP(A37,Tabla_Datos,3,FALSE),0)</f>
        <v>u</v>
      </c>
      <c r="D37" s="485">
        <v>0</v>
      </c>
      <c r="E37" s="487">
        <f t="shared" ref="E37" si="14">IFERROR(VLOOKUP(A37,Tabla_Comp_Presup,7,FALSE),0)</f>
        <v>0</v>
      </c>
      <c r="F37" s="487">
        <f t="shared" ref="F37" si="15">ROUND(D37*E37,15)</f>
        <v>0</v>
      </c>
    </row>
    <row r="38" spans="1:6" ht="23.1" customHeight="1" x14ac:dyDescent="0.25">
      <c r="A38" s="513">
        <v>22</v>
      </c>
      <c r="B38" s="454" t="str">
        <f t="shared" si="8"/>
        <v>ESPACIOS COMUNES - INSTALACIONES SANITARIAS</v>
      </c>
      <c r="C38" s="455"/>
      <c r="D38" s="485"/>
      <c r="E38" s="487"/>
      <c r="F38" s="487"/>
    </row>
    <row r="39" spans="1:6" ht="23.1" customHeight="1" x14ac:dyDescent="0.25">
      <c r="A39" s="513" t="s">
        <v>1480</v>
      </c>
      <c r="B39" s="454" t="str">
        <f t="shared" si="8"/>
        <v>Caño Ø160</v>
      </c>
      <c r="C39" s="455" t="str">
        <f t="shared" si="9"/>
        <v>ml</v>
      </c>
      <c r="D39" s="485">
        <v>10</v>
      </c>
      <c r="E39" s="487">
        <f t="shared" si="10"/>
        <v>0</v>
      </c>
      <c r="F39" s="487">
        <f t="shared" si="11"/>
        <v>0</v>
      </c>
    </row>
    <row r="40" spans="1:6" ht="23.1" customHeight="1" x14ac:dyDescent="0.25">
      <c r="A40" s="513" t="s">
        <v>1481</v>
      </c>
      <c r="B40" s="454" t="str">
        <f t="shared" si="8"/>
        <v>Caño Ø110</v>
      </c>
      <c r="C40" s="455" t="str">
        <f t="shared" si="9"/>
        <v>ml</v>
      </c>
      <c r="D40" s="485">
        <v>170</v>
      </c>
      <c r="E40" s="487">
        <f t="shared" si="10"/>
        <v>0</v>
      </c>
      <c r="F40" s="487">
        <f t="shared" si="11"/>
        <v>0</v>
      </c>
    </row>
    <row r="41" spans="1:6" ht="23.1" customHeight="1" x14ac:dyDescent="0.25">
      <c r="A41" s="513" t="s">
        <v>1482</v>
      </c>
      <c r="B41" s="454" t="str">
        <f t="shared" si="8"/>
        <v>Cámara de inspección 60x60</v>
      </c>
      <c r="C41" s="455" t="str">
        <f t="shared" si="9"/>
        <v>u</v>
      </c>
      <c r="D41" s="485">
        <v>10</v>
      </c>
      <c r="E41" s="487">
        <f t="shared" si="10"/>
        <v>0</v>
      </c>
      <c r="F41" s="487">
        <f t="shared" si="11"/>
        <v>0</v>
      </c>
    </row>
    <row r="42" spans="1:6" ht="23.1" customHeight="1" x14ac:dyDescent="0.25">
      <c r="A42" s="513" t="s">
        <v>1483</v>
      </c>
      <c r="B42" s="454" t="str">
        <f t="shared" si="8"/>
        <v>Ramal Y Ø110</v>
      </c>
      <c r="C42" s="455" t="str">
        <f t="shared" si="9"/>
        <v>u</v>
      </c>
      <c r="D42" s="485">
        <v>15</v>
      </c>
      <c r="E42" s="487">
        <f t="shared" si="10"/>
        <v>0</v>
      </c>
      <c r="F42" s="487">
        <f t="shared" si="11"/>
        <v>0</v>
      </c>
    </row>
    <row r="43" spans="1:6" ht="23.1" customHeight="1" x14ac:dyDescent="0.25">
      <c r="A43" s="513" t="s">
        <v>1484</v>
      </c>
      <c r="B43" s="454" t="str">
        <f t="shared" si="8"/>
        <v>Codo a 90° Ø110</v>
      </c>
      <c r="C43" s="455" t="str">
        <f t="shared" si="9"/>
        <v>u</v>
      </c>
      <c r="D43" s="485">
        <v>16</v>
      </c>
      <c r="E43" s="487">
        <f t="shared" si="10"/>
        <v>0</v>
      </c>
      <c r="F43" s="487">
        <f t="shared" si="11"/>
        <v>0</v>
      </c>
    </row>
    <row r="44" spans="1:6" ht="23.1" customHeight="1" x14ac:dyDescent="0.25">
      <c r="A44" s="513">
        <v>23</v>
      </c>
      <c r="B44" s="454" t="str">
        <f t="shared" si="8"/>
        <v>ESPACIOS COMUNES - CONEXIONES TANQUE Y CISTERNA</v>
      </c>
      <c r="C44" s="455"/>
      <c r="D44" s="485"/>
      <c r="E44" s="487"/>
      <c r="F44" s="487"/>
    </row>
    <row r="45" spans="1:6" ht="23.1" customHeight="1" x14ac:dyDescent="0.25">
      <c r="A45" s="513" t="s">
        <v>1485</v>
      </c>
      <c r="B45" s="454" t="str">
        <f t="shared" si="8"/>
        <v>Conexiones domiciliarias PEAD PN 16 Ø25 (incluye accesorios y kit de conexión)</v>
      </c>
      <c r="C45" s="455" t="str">
        <f t="shared" si="9"/>
        <v>u</v>
      </c>
      <c r="D45" s="485">
        <v>4</v>
      </c>
      <c r="E45" s="487">
        <f t="shared" si="10"/>
        <v>0</v>
      </c>
      <c r="F45" s="487">
        <f t="shared" si="11"/>
        <v>0</v>
      </c>
    </row>
    <row r="46" spans="1:6" ht="23.1" customHeight="1" x14ac:dyDescent="0.25">
      <c r="A46" s="513" t="s">
        <v>1486</v>
      </c>
      <c r="B46" s="454" t="str">
        <f>IFERROR(VLOOKUP(A46,Tabla_Datos,2,FALSE),0)</f>
        <v xml:space="preserve">Llaves de paso Ø25 </v>
      </c>
      <c r="C46" s="455" t="str">
        <f>IFERROR(VLOOKUP(A46,Tabla_Datos,3,FALSE),0)</f>
        <v>u</v>
      </c>
      <c r="D46" s="485">
        <v>4</v>
      </c>
      <c r="E46" s="487">
        <f>IFERROR(VLOOKUP(A46,Tabla_Comp_Presup,7,FALSE),0)</f>
        <v>0</v>
      </c>
      <c r="F46" s="487">
        <f>ROUND(D46*E46,15)</f>
        <v>0</v>
      </c>
    </row>
    <row r="47" spans="1:6" ht="23.1" customHeight="1" x14ac:dyDescent="0.25">
      <c r="A47" s="513" t="s">
        <v>1487</v>
      </c>
      <c r="B47" s="454" t="str">
        <f t="shared" ref="B47" si="16">IFERROR(VLOOKUP(A47,Tabla_Datos,2,FALSE),0)</f>
        <v>Cañería PPL Ø25 (incluye accesorios)</v>
      </c>
      <c r="C47" s="455" t="str">
        <f t="shared" ref="C47" si="17">IFERROR(VLOOKUP(A47,Tabla_Datos,3,FALSE),0)</f>
        <v>ml</v>
      </c>
      <c r="D47" s="485">
        <v>320</v>
      </c>
      <c r="E47" s="487">
        <f t="shared" ref="E47" si="18">IFERROR(VLOOKUP(A47,Tabla_Comp_Presup,7,FALSE),0)</f>
        <v>0</v>
      </c>
      <c r="F47" s="487">
        <f t="shared" ref="F47" si="19">ROUND(D47*E47,15)</f>
        <v>0</v>
      </c>
    </row>
    <row r="48" spans="1:6" ht="23.1" customHeight="1" x14ac:dyDescent="0.25">
      <c r="A48" s="193"/>
      <c r="B48" s="194"/>
      <c r="C48" s="195"/>
      <c r="D48" s="196"/>
      <c r="E48" s="197"/>
      <c r="F48" s="197"/>
    </row>
    <row r="49" spans="1:6" ht="23.1" customHeight="1" x14ac:dyDescent="0.25">
      <c r="A49" s="459" t="s">
        <v>1106</v>
      </c>
      <c r="B49" s="460" t="s">
        <v>1162</v>
      </c>
      <c r="C49" s="461"/>
      <c r="D49" s="462"/>
      <c r="E49" s="463"/>
      <c r="F49" s="464">
        <f>ROUND(F58/Coef_Paso_Vivienda,2)</f>
        <v>0</v>
      </c>
    </row>
    <row r="50" spans="1:6" ht="23.1" customHeight="1" x14ac:dyDescent="0.25">
      <c r="A50" s="465" t="s">
        <v>1107</v>
      </c>
      <c r="B50" s="466" t="str">
        <f>"COSTO FINANCIERO  "&amp;ROUND(Costo_Financiero*100,2)&amp;" % de ( 1 )"</f>
        <v>COSTO FINANCIERO  0 % de ( 1 )</v>
      </c>
      <c r="C50" s="467">
        <f>Costo_Financiero</f>
        <v>0</v>
      </c>
      <c r="D50" s="468"/>
      <c r="E50" s="469">
        <f>Costo_Financiero</f>
        <v>0</v>
      </c>
      <c r="F50" s="470">
        <f>ROUND(F49*Costo_Financiero,2)</f>
        <v>0</v>
      </c>
    </row>
    <row r="51" spans="1:6" ht="23.1" customHeight="1" x14ac:dyDescent="0.25">
      <c r="A51" s="465" t="s">
        <v>1108</v>
      </c>
      <c r="B51" s="466" t="s">
        <v>1158</v>
      </c>
      <c r="C51" s="467"/>
      <c r="D51" s="468"/>
      <c r="E51" s="471"/>
      <c r="F51" s="470">
        <f>F49+F50</f>
        <v>0</v>
      </c>
    </row>
    <row r="52" spans="1:6" ht="23.1" customHeight="1" x14ac:dyDescent="0.25">
      <c r="A52" s="465" t="s">
        <v>1109</v>
      </c>
      <c r="B52" s="472" t="str">
        <f>CONCATENATE("GASTOS GENERALES  ",ROUND(Gastos_Generales*100,3)," % de ( 3 )")</f>
        <v>GASTOS GENERALES  10 % de ( 3 )</v>
      </c>
      <c r="C52" s="469">
        <f>Gastos_Generales</f>
        <v>0.1</v>
      </c>
      <c r="D52" s="473"/>
      <c r="E52" s="471"/>
      <c r="F52" s="470">
        <f>ROUND(F51*Gastos_Generales,2)</f>
        <v>0</v>
      </c>
    </row>
    <row r="53" spans="1:6" ht="23.1" customHeight="1" x14ac:dyDescent="0.25">
      <c r="A53" s="465" t="s">
        <v>1110</v>
      </c>
      <c r="B53" s="472" t="str">
        <f>CONCATENATE("BENEFICIOS  ",ROUND(Beneficio*100,2)," % de ( 3 )")</f>
        <v>BENEFICIOS  10 % de ( 3 )</v>
      </c>
      <c r="C53" s="469">
        <f>Beneficio</f>
        <v>0.1</v>
      </c>
      <c r="D53" s="473"/>
      <c r="E53" s="471"/>
      <c r="F53" s="470">
        <f>ROUND(F51*Beneficio,2)</f>
        <v>0</v>
      </c>
    </row>
    <row r="54" spans="1:6" ht="23.1" customHeight="1" x14ac:dyDescent="0.25">
      <c r="A54" s="465">
        <v>6</v>
      </c>
      <c r="B54" s="466" t="s">
        <v>1159</v>
      </c>
      <c r="C54" s="471"/>
      <c r="D54" s="473"/>
      <c r="E54" s="471"/>
      <c r="F54" s="470">
        <f>F51+F52+F53</f>
        <v>0</v>
      </c>
    </row>
    <row r="55" spans="1:6" ht="23.1" customHeight="1" x14ac:dyDescent="0.25">
      <c r="A55" s="465" t="s">
        <v>1160</v>
      </c>
      <c r="B55" s="472" t="str">
        <f>CONCATENATE("INGRESOS BRUTOS Y LOTE HOGAR  ",ROUND(Ingresos_Brutos*100,2)," % de ( 6 )")</f>
        <v>INGRESOS BRUTOS Y LOTE HOGAR  2,4 % de ( 6 )</v>
      </c>
      <c r="C55" s="469">
        <f>Ingresos_Brutos</f>
        <v>2.4E-2</v>
      </c>
      <c r="D55" s="473"/>
      <c r="E55" s="471"/>
      <c r="F55" s="470">
        <f>IF(Ingresos_Brutos=0,,ROUND(Ingresos_Brutos*F54,2))</f>
        <v>0</v>
      </c>
    </row>
    <row r="56" spans="1:6" ht="23.1" customHeight="1" x14ac:dyDescent="0.25">
      <c r="A56" s="474" t="s">
        <v>1161</v>
      </c>
      <c r="B56" s="475" t="str">
        <f>CONCATENATE("IMPUESTO AL VALOR AGREGADO ",IVA_Vivienda*100," % de ( 6 )")</f>
        <v>IMPUESTO AL VALOR AGREGADO 0,000000000001 % de ( 6 )</v>
      </c>
      <c r="C56" s="476">
        <f>IVA_Vivienda</f>
        <v>1E-14</v>
      </c>
      <c r="D56" s="477"/>
      <c r="E56" s="478"/>
      <c r="F56" s="479">
        <f>IF(IVA_Vivienda=0,,ROUND(IVA_Vivienda*F54,2))</f>
        <v>0</v>
      </c>
    </row>
    <row r="57" spans="1:6" ht="23.1" customHeight="1" x14ac:dyDescent="0.25">
      <c r="A57" s="88"/>
      <c r="B57" s="83"/>
      <c r="C57" s="83"/>
      <c r="D57" s="84"/>
      <c r="E57" s="85"/>
      <c r="F57" s="2"/>
    </row>
    <row r="58" spans="1:6" ht="23.1" customHeight="1" x14ac:dyDescent="0.25">
      <c r="A58" s="480"/>
      <c r="B58" s="481" t="str">
        <f>"PRECIO TOTAL ESPACIO COMUN"</f>
        <v>PRECIO TOTAL ESPACIO COMUN</v>
      </c>
      <c r="C58" s="481"/>
      <c r="D58" s="482"/>
      <c r="E58" s="480"/>
      <c r="F58" s="483">
        <f>SUM(F11:F47)</f>
        <v>0</v>
      </c>
    </row>
    <row r="59" spans="1:6" ht="23.1" customHeight="1" x14ac:dyDescent="0.25"/>
    <row r="60" spans="1:6" ht="23.1" customHeight="1" x14ac:dyDescent="0.25"/>
  </sheetData>
  <mergeCells count="7">
    <mergeCell ref="A1:F1"/>
    <mergeCell ref="A7:A8"/>
    <mergeCell ref="B7:B8"/>
    <mergeCell ref="C7:C8"/>
    <mergeCell ref="D7:D8"/>
    <mergeCell ref="E7:E8"/>
    <mergeCell ref="F7:F8"/>
  </mergeCells>
  <phoneticPr fontId="10" type="noConversion"/>
  <conditionalFormatting sqref="B10:B24 A11:A24 A25:B48">
    <cfRule type="expression" dxfId="135" priority="3" stopIfTrue="1">
      <formula>$C10=0</formula>
    </cfRule>
  </conditionalFormatting>
  <conditionalFormatting sqref="A10">
    <cfRule type="expression" dxfId="134" priority="2" stopIfTrue="1">
      <formula>$C10=0</formula>
    </cfRule>
  </conditionalFormatting>
  <conditionalFormatting sqref="F49">
    <cfRule type="expression" dxfId="133" priority="1" stopIfTrue="1">
      <formula>#REF!=1</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62"/>
  <sheetViews>
    <sheetView workbookViewId="0">
      <selection sqref="A1:F1"/>
    </sheetView>
  </sheetViews>
  <sheetFormatPr baseColWidth="10" defaultColWidth="11.44140625" defaultRowHeight="20.100000000000001" customHeight="1" x14ac:dyDescent="0.25"/>
  <cols>
    <col min="1" max="1" width="12.6640625" style="75" customWidth="1"/>
    <col min="2" max="2" width="107.44140625" style="75" customWidth="1"/>
    <col min="3" max="3" width="10.6640625" style="75" customWidth="1"/>
    <col min="4" max="4" width="14.6640625" style="75" customWidth="1"/>
    <col min="5" max="5" width="16.6640625" style="75" customWidth="1"/>
    <col min="6" max="6" width="19.6640625" style="75" customWidth="1"/>
    <col min="7" max="7" width="11.44140625" style="75"/>
    <col min="8" max="8" width="17.5546875" style="75" bestFit="1" customWidth="1"/>
    <col min="9" max="16384" width="11.44140625" style="75"/>
  </cols>
  <sheetData>
    <row r="1" spans="1:9" ht="20.100000000000001" customHeight="1" x14ac:dyDescent="0.25">
      <c r="A1" s="587" t="s">
        <v>1252</v>
      </c>
      <c r="B1" s="587"/>
      <c r="C1" s="587"/>
      <c r="D1" s="587"/>
      <c r="E1" s="587"/>
      <c r="F1" s="587"/>
    </row>
    <row r="2" spans="1:9" s="94" customFormat="1" ht="20.100000000000001" customHeight="1" x14ac:dyDescent="0.25">
      <c r="A2" s="94" t="s">
        <v>1230</v>
      </c>
      <c r="B2" s="93" t="str">
        <f>Obra</f>
        <v>LA NAVE - 103 DEPARTAMENTOS - CAPITAL</v>
      </c>
      <c r="C2" s="95"/>
      <c r="D2" s="95"/>
    </row>
    <row r="3" spans="1:9" s="94" customFormat="1" ht="20.100000000000001" customHeight="1" x14ac:dyDescent="0.25">
      <c r="A3" s="94" t="str">
        <f>"UBICACION:      "&amp;Ubicación</f>
        <v>UBICACION:      CAPITAL</v>
      </c>
      <c r="B3" s="93" t="str">
        <f>Ubicación</f>
        <v>CAPITAL</v>
      </c>
      <c r="C3" s="95"/>
      <c r="D3" s="95"/>
    </row>
    <row r="4" spans="1:9" s="94" customFormat="1" ht="20.100000000000001" customHeight="1" x14ac:dyDescent="0.25">
      <c r="B4" s="95"/>
      <c r="C4" s="95"/>
      <c r="D4" s="95"/>
    </row>
    <row r="5" spans="1:9" s="94" customFormat="1" ht="20.100000000000001" customHeight="1" x14ac:dyDescent="0.25">
      <c r="B5" s="95"/>
      <c r="C5" s="95"/>
      <c r="D5" s="95"/>
    </row>
    <row r="7" spans="1:9" ht="20.100000000000001" customHeight="1" x14ac:dyDescent="0.25">
      <c r="A7" s="588" t="s">
        <v>1105</v>
      </c>
      <c r="B7" s="590" t="s">
        <v>0</v>
      </c>
      <c r="C7" s="588" t="s">
        <v>1</v>
      </c>
      <c r="D7" s="588" t="s">
        <v>2</v>
      </c>
      <c r="E7" s="588" t="s">
        <v>1148</v>
      </c>
      <c r="F7" s="588" t="s">
        <v>1157</v>
      </c>
    </row>
    <row r="8" spans="1:9" ht="20.100000000000001" customHeight="1" x14ac:dyDescent="0.25">
      <c r="A8" s="589"/>
      <c r="B8" s="591"/>
      <c r="C8" s="589"/>
      <c r="D8" s="589"/>
      <c r="E8" s="589"/>
      <c r="F8" s="589"/>
    </row>
    <row r="9" spans="1:9" ht="20.100000000000001" customHeight="1" x14ac:dyDescent="0.25">
      <c r="A9" s="198"/>
      <c r="B9" s="136"/>
      <c r="C9" s="140"/>
      <c r="D9" s="140"/>
      <c r="E9" s="200"/>
      <c r="F9" s="201"/>
    </row>
    <row r="10" spans="1:9" ht="20.100000000000001" customHeight="1" x14ac:dyDescent="0.25">
      <c r="A10" s="257" t="s">
        <v>1125</v>
      </c>
      <c r="B10" s="256" t="str">
        <f t="shared" ref="B10" si="0">IFERROR(VLOOKUP(A10,Tabla_Datos,2,FALSE),0)</f>
        <v>ESPACIOS COMUNES</v>
      </c>
      <c r="C10" s="225"/>
      <c r="D10" s="226"/>
      <c r="E10" s="258"/>
      <c r="F10" s="258"/>
    </row>
    <row r="11" spans="1:9" ht="20.100000000000001" customHeight="1" x14ac:dyDescent="0.25">
      <c r="A11" s="427"/>
      <c r="B11" s="418">
        <f t="shared" ref="B11:B36" si="1">IFERROR(VLOOKUP(A11,Tabla_Datos,2,FALSE),0)</f>
        <v>0</v>
      </c>
      <c r="C11" s="419">
        <f t="shared" ref="C11:C36" si="2">IFERROR(VLOOKUP(A11,Tabla_Datos,3,FALSE),0)</f>
        <v>0</v>
      </c>
      <c r="D11" s="424"/>
      <c r="E11" s="417">
        <f t="shared" ref="E11:E36" si="3">IFERROR(VLOOKUP(A11,Tabla_Comp_Presup,7,FALSE),0)</f>
        <v>0</v>
      </c>
      <c r="F11" s="417">
        <f>ROUND(D11*E11,2)</f>
        <v>0</v>
      </c>
    </row>
    <row r="12" spans="1:9" ht="20.100000000000001" customHeight="1" x14ac:dyDescent="0.25">
      <c r="A12" s="427"/>
      <c r="B12" s="418">
        <f t="shared" si="1"/>
        <v>0</v>
      </c>
      <c r="C12" s="419">
        <f t="shared" si="2"/>
        <v>0</v>
      </c>
      <c r="D12" s="424"/>
      <c r="E12" s="417">
        <f t="shared" si="3"/>
        <v>0</v>
      </c>
      <c r="F12" s="417">
        <f t="shared" ref="F12:F21" si="4">ROUND(D12*E12,2)</f>
        <v>0</v>
      </c>
      <c r="I12" s="428"/>
    </row>
    <row r="13" spans="1:9" ht="20.100000000000001" customHeight="1" x14ac:dyDescent="0.25">
      <c r="A13" s="427"/>
      <c r="B13" s="418">
        <f t="shared" si="1"/>
        <v>0</v>
      </c>
      <c r="C13" s="419">
        <f t="shared" si="2"/>
        <v>0</v>
      </c>
      <c r="D13" s="424"/>
      <c r="E13" s="417">
        <f t="shared" si="3"/>
        <v>0</v>
      </c>
      <c r="F13" s="417">
        <f t="shared" si="4"/>
        <v>0</v>
      </c>
      <c r="I13" s="428"/>
    </row>
    <row r="14" spans="1:9" ht="20.100000000000001" customHeight="1" x14ac:dyDescent="0.25">
      <c r="A14" s="427"/>
      <c r="B14" s="418">
        <f t="shared" si="1"/>
        <v>0</v>
      </c>
      <c r="C14" s="419">
        <f t="shared" si="2"/>
        <v>0</v>
      </c>
      <c r="D14" s="424"/>
      <c r="E14" s="417">
        <f t="shared" si="3"/>
        <v>0</v>
      </c>
      <c r="F14" s="417">
        <f t="shared" si="4"/>
        <v>0</v>
      </c>
      <c r="I14" s="428"/>
    </row>
    <row r="15" spans="1:9" ht="20.100000000000001" customHeight="1" x14ac:dyDescent="0.25">
      <c r="A15" s="427"/>
      <c r="B15" s="418">
        <f t="shared" si="1"/>
        <v>0</v>
      </c>
      <c r="C15" s="419">
        <f t="shared" si="2"/>
        <v>0</v>
      </c>
      <c r="D15" s="424"/>
      <c r="E15" s="417">
        <f t="shared" si="3"/>
        <v>0</v>
      </c>
      <c r="F15" s="417">
        <f t="shared" si="4"/>
        <v>0</v>
      </c>
      <c r="H15" s="145"/>
      <c r="I15" s="428"/>
    </row>
    <row r="16" spans="1:9" ht="20.100000000000001" customHeight="1" x14ac:dyDescent="0.25">
      <c r="A16" s="427"/>
      <c r="B16" s="418">
        <f t="shared" si="1"/>
        <v>0</v>
      </c>
      <c r="C16" s="419">
        <f t="shared" si="2"/>
        <v>0</v>
      </c>
      <c r="D16" s="424"/>
      <c r="E16" s="417">
        <f t="shared" si="3"/>
        <v>0</v>
      </c>
      <c r="F16" s="417">
        <f t="shared" si="4"/>
        <v>0</v>
      </c>
      <c r="I16" s="428"/>
    </row>
    <row r="17" spans="1:9" ht="20.100000000000001" customHeight="1" x14ac:dyDescent="0.25">
      <c r="A17" s="427"/>
      <c r="B17" s="418">
        <f t="shared" si="1"/>
        <v>0</v>
      </c>
      <c r="C17" s="419">
        <f t="shared" si="2"/>
        <v>0</v>
      </c>
      <c r="D17" s="424"/>
      <c r="E17" s="417">
        <f t="shared" si="3"/>
        <v>0</v>
      </c>
      <c r="F17" s="417">
        <f t="shared" si="4"/>
        <v>0</v>
      </c>
      <c r="H17" s="145"/>
      <c r="I17" s="428"/>
    </row>
    <row r="18" spans="1:9" ht="20.100000000000001" customHeight="1" x14ac:dyDescent="0.25">
      <c r="A18" s="427"/>
      <c r="B18" s="418">
        <f t="shared" si="1"/>
        <v>0</v>
      </c>
      <c r="C18" s="419">
        <f t="shared" si="2"/>
        <v>0</v>
      </c>
      <c r="D18" s="424"/>
      <c r="E18" s="417">
        <f t="shared" si="3"/>
        <v>0</v>
      </c>
      <c r="F18" s="417">
        <f t="shared" si="4"/>
        <v>0</v>
      </c>
      <c r="I18" s="428"/>
    </row>
    <row r="19" spans="1:9" ht="20.100000000000001" customHeight="1" x14ac:dyDescent="0.25">
      <c r="A19" s="427"/>
      <c r="B19" s="418">
        <f t="shared" si="1"/>
        <v>0</v>
      </c>
      <c r="C19" s="419">
        <f t="shared" si="2"/>
        <v>0</v>
      </c>
      <c r="D19" s="424"/>
      <c r="E19" s="417">
        <f t="shared" si="3"/>
        <v>0</v>
      </c>
      <c r="F19" s="417">
        <f t="shared" si="4"/>
        <v>0</v>
      </c>
      <c r="I19" s="428"/>
    </row>
    <row r="20" spans="1:9" ht="20.100000000000001" customHeight="1" x14ac:dyDescent="0.25">
      <c r="A20" s="427"/>
      <c r="B20" s="418">
        <f t="shared" si="1"/>
        <v>0</v>
      </c>
      <c r="C20" s="419">
        <f t="shared" si="2"/>
        <v>0</v>
      </c>
      <c r="D20" s="424"/>
      <c r="E20" s="417">
        <f t="shared" si="3"/>
        <v>0</v>
      </c>
      <c r="F20" s="417">
        <f t="shared" si="4"/>
        <v>0</v>
      </c>
      <c r="I20" s="428"/>
    </row>
    <row r="21" spans="1:9" ht="20.100000000000001" customHeight="1" x14ac:dyDescent="0.25">
      <c r="A21" s="427"/>
      <c r="B21" s="418">
        <f t="shared" si="1"/>
        <v>0</v>
      </c>
      <c r="C21" s="419">
        <f t="shared" si="2"/>
        <v>0</v>
      </c>
      <c r="D21" s="424"/>
      <c r="E21" s="417">
        <f t="shared" si="3"/>
        <v>0</v>
      </c>
      <c r="F21" s="417">
        <f t="shared" si="4"/>
        <v>0</v>
      </c>
      <c r="I21" s="428"/>
    </row>
    <row r="22" spans="1:9" ht="20.100000000000001" customHeight="1" x14ac:dyDescent="0.25">
      <c r="A22" s="427"/>
      <c r="B22" s="418">
        <f t="shared" si="1"/>
        <v>0</v>
      </c>
      <c r="C22" s="419">
        <f t="shared" si="2"/>
        <v>0</v>
      </c>
      <c r="D22" s="424"/>
      <c r="E22" s="417">
        <f t="shared" si="3"/>
        <v>0</v>
      </c>
      <c r="F22" s="417">
        <f t="shared" ref="F22:F47" si="5">ROUND(D22*E22,2)</f>
        <v>0</v>
      </c>
      <c r="I22" s="428"/>
    </row>
    <row r="23" spans="1:9" ht="20.100000000000001" customHeight="1" x14ac:dyDescent="0.25">
      <c r="A23" s="427"/>
      <c r="B23" s="418">
        <f t="shared" si="1"/>
        <v>0</v>
      </c>
      <c r="C23" s="419">
        <f t="shared" si="2"/>
        <v>0</v>
      </c>
      <c r="D23" s="424"/>
      <c r="E23" s="417">
        <f t="shared" si="3"/>
        <v>0</v>
      </c>
      <c r="F23" s="417">
        <f t="shared" si="5"/>
        <v>0</v>
      </c>
      <c r="I23" s="428"/>
    </row>
    <row r="24" spans="1:9" ht="20.100000000000001" customHeight="1" x14ac:dyDescent="0.25">
      <c r="A24" s="427"/>
      <c r="B24" s="418">
        <f t="shared" si="1"/>
        <v>0</v>
      </c>
      <c r="C24" s="419">
        <f t="shared" si="2"/>
        <v>0</v>
      </c>
      <c r="D24" s="424"/>
      <c r="E24" s="417">
        <f t="shared" si="3"/>
        <v>0</v>
      </c>
      <c r="F24" s="417">
        <f t="shared" si="5"/>
        <v>0</v>
      </c>
      <c r="I24" s="428"/>
    </row>
    <row r="25" spans="1:9" ht="20.100000000000001" customHeight="1" x14ac:dyDescent="0.25">
      <c r="A25" s="427"/>
      <c r="B25" s="418">
        <f t="shared" si="1"/>
        <v>0</v>
      </c>
      <c r="C25" s="419">
        <f t="shared" si="2"/>
        <v>0</v>
      </c>
      <c r="D25" s="424"/>
      <c r="E25" s="417">
        <f t="shared" si="3"/>
        <v>0</v>
      </c>
      <c r="F25" s="417">
        <f t="shared" si="5"/>
        <v>0</v>
      </c>
      <c r="I25" s="428"/>
    </row>
    <row r="26" spans="1:9" ht="20.100000000000001" customHeight="1" x14ac:dyDescent="0.25">
      <c r="A26" s="427"/>
      <c r="B26" s="418">
        <f t="shared" si="1"/>
        <v>0</v>
      </c>
      <c r="C26" s="419">
        <f t="shared" si="2"/>
        <v>0</v>
      </c>
      <c r="D26" s="424"/>
      <c r="E26" s="417">
        <f t="shared" si="3"/>
        <v>0</v>
      </c>
      <c r="F26" s="417">
        <f t="shared" si="5"/>
        <v>0</v>
      </c>
      <c r="I26" s="428"/>
    </row>
    <row r="27" spans="1:9" ht="20.100000000000001" customHeight="1" x14ac:dyDescent="0.25">
      <c r="A27" s="427"/>
      <c r="B27" s="418">
        <f t="shared" si="1"/>
        <v>0</v>
      </c>
      <c r="C27" s="419">
        <f t="shared" si="2"/>
        <v>0</v>
      </c>
      <c r="D27" s="424"/>
      <c r="E27" s="417">
        <f t="shared" si="3"/>
        <v>0</v>
      </c>
      <c r="F27" s="417">
        <f t="shared" si="5"/>
        <v>0</v>
      </c>
      <c r="I27" s="428"/>
    </row>
    <row r="28" spans="1:9" ht="20.100000000000001" customHeight="1" x14ac:dyDescent="0.25">
      <c r="A28" s="427"/>
      <c r="B28" s="418">
        <f t="shared" si="1"/>
        <v>0</v>
      </c>
      <c r="C28" s="419">
        <f t="shared" si="2"/>
        <v>0</v>
      </c>
      <c r="D28" s="424"/>
      <c r="E28" s="417">
        <f t="shared" si="3"/>
        <v>0</v>
      </c>
      <c r="F28" s="417">
        <f t="shared" si="5"/>
        <v>0</v>
      </c>
      <c r="I28" s="428"/>
    </row>
    <row r="29" spans="1:9" ht="20.100000000000001" customHeight="1" x14ac:dyDescent="0.25">
      <c r="A29" s="427"/>
      <c r="B29" s="418">
        <f t="shared" si="1"/>
        <v>0</v>
      </c>
      <c r="C29" s="419">
        <f t="shared" si="2"/>
        <v>0</v>
      </c>
      <c r="D29" s="424"/>
      <c r="E29" s="417">
        <f t="shared" si="3"/>
        <v>0</v>
      </c>
      <c r="F29" s="417">
        <f t="shared" si="5"/>
        <v>0</v>
      </c>
      <c r="I29" s="428"/>
    </row>
    <row r="30" spans="1:9" ht="20.100000000000001" customHeight="1" x14ac:dyDescent="0.25">
      <c r="A30" s="427"/>
      <c r="B30" s="418">
        <f t="shared" si="1"/>
        <v>0</v>
      </c>
      <c r="C30" s="419">
        <f t="shared" si="2"/>
        <v>0</v>
      </c>
      <c r="D30" s="424"/>
      <c r="E30" s="417">
        <f t="shared" si="3"/>
        <v>0</v>
      </c>
      <c r="F30" s="417">
        <f t="shared" si="5"/>
        <v>0</v>
      </c>
      <c r="I30" s="428"/>
    </row>
    <row r="31" spans="1:9" ht="20.100000000000001" customHeight="1" x14ac:dyDescent="0.25">
      <c r="A31" s="427"/>
      <c r="B31" s="418">
        <f t="shared" si="1"/>
        <v>0</v>
      </c>
      <c r="C31" s="419">
        <f t="shared" si="2"/>
        <v>0</v>
      </c>
      <c r="D31" s="424"/>
      <c r="E31" s="417">
        <f t="shared" si="3"/>
        <v>0</v>
      </c>
      <c r="F31" s="417">
        <f t="shared" si="5"/>
        <v>0</v>
      </c>
      <c r="I31" s="428"/>
    </row>
    <row r="32" spans="1:9" ht="20.100000000000001" customHeight="1" x14ac:dyDescent="0.25">
      <c r="A32" s="427"/>
      <c r="B32" s="418">
        <f t="shared" si="1"/>
        <v>0</v>
      </c>
      <c r="C32" s="419">
        <f t="shared" si="2"/>
        <v>0</v>
      </c>
      <c r="D32" s="424"/>
      <c r="E32" s="417">
        <f t="shared" si="3"/>
        <v>0</v>
      </c>
      <c r="F32" s="417">
        <f t="shared" si="5"/>
        <v>0</v>
      </c>
      <c r="I32" s="428"/>
    </row>
    <row r="33" spans="1:9" ht="20.100000000000001" customHeight="1" x14ac:dyDescent="0.25">
      <c r="A33" s="427"/>
      <c r="B33" s="418">
        <f t="shared" si="1"/>
        <v>0</v>
      </c>
      <c r="C33" s="419">
        <f t="shared" si="2"/>
        <v>0</v>
      </c>
      <c r="D33" s="424"/>
      <c r="E33" s="417">
        <f t="shared" si="3"/>
        <v>0</v>
      </c>
      <c r="F33" s="417">
        <f t="shared" si="5"/>
        <v>0</v>
      </c>
      <c r="H33" s="445"/>
      <c r="I33" s="428"/>
    </row>
    <row r="34" spans="1:9" ht="20.100000000000001" customHeight="1" x14ac:dyDescent="0.25">
      <c r="A34" s="427"/>
      <c r="B34" s="418">
        <f t="shared" si="1"/>
        <v>0</v>
      </c>
      <c r="C34" s="419">
        <f t="shared" si="2"/>
        <v>0</v>
      </c>
      <c r="D34" s="424"/>
      <c r="E34" s="417">
        <f t="shared" si="3"/>
        <v>0</v>
      </c>
      <c r="F34" s="417">
        <f t="shared" si="5"/>
        <v>0</v>
      </c>
      <c r="I34" s="428"/>
    </row>
    <row r="35" spans="1:9" ht="20.100000000000001" customHeight="1" x14ac:dyDescent="0.25">
      <c r="A35" s="427"/>
      <c r="B35" s="418">
        <f t="shared" si="1"/>
        <v>0</v>
      </c>
      <c r="C35" s="419">
        <f t="shared" si="2"/>
        <v>0</v>
      </c>
      <c r="D35" s="424"/>
      <c r="E35" s="417">
        <f t="shared" si="3"/>
        <v>0</v>
      </c>
      <c r="F35" s="417">
        <f t="shared" si="5"/>
        <v>0</v>
      </c>
      <c r="I35" s="428"/>
    </row>
    <row r="36" spans="1:9" ht="20.100000000000001" customHeight="1" x14ac:dyDescent="0.25">
      <c r="A36" s="427"/>
      <c r="B36" s="418">
        <f t="shared" si="1"/>
        <v>0</v>
      </c>
      <c r="C36" s="419">
        <f t="shared" si="2"/>
        <v>0</v>
      </c>
      <c r="D36" s="424"/>
      <c r="E36" s="417">
        <f t="shared" si="3"/>
        <v>0</v>
      </c>
      <c r="F36" s="417">
        <f t="shared" si="5"/>
        <v>0</v>
      </c>
      <c r="H36" s="445"/>
      <c r="I36" s="428"/>
    </row>
    <row r="37" spans="1:9" ht="20.100000000000001" customHeight="1" x14ac:dyDescent="0.25">
      <c r="A37" s="427"/>
      <c r="B37" s="418">
        <f t="shared" ref="B37" si="6">IFERROR(VLOOKUP(A37,Tabla_Datos,2,FALSE),0)</f>
        <v>0</v>
      </c>
      <c r="C37" s="419">
        <f t="shared" ref="C37" si="7">IFERROR(VLOOKUP(A37,Tabla_Datos,3,FALSE),0)</f>
        <v>0</v>
      </c>
      <c r="D37" s="424"/>
      <c r="E37" s="417">
        <f t="shared" ref="E37" si="8">IFERROR(VLOOKUP(A37,Tabla_Comp_Presup,7,FALSE),0)</f>
        <v>0</v>
      </c>
      <c r="F37" s="417">
        <f t="shared" si="5"/>
        <v>0</v>
      </c>
      <c r="I37" s="428"/>
    </row>
    <row r="38" spans="1:9" ht="20.100000000000001" customHeight="1" x14ac:dyDescent="0.25">
      <c r="A38" s="427"/>
      <c r="B38" s="418">
        <f t="shared" ref="B38:B40" si="9">IFERROR(VLOOKUP(A38,Tabla_Datos,2,FALSE),0)</f>
        <v>0</v>
      </c>
      <c r="C38" s="419">
        <f t="shared" ref="C38:C40" si="10">IFERROR(VLOOKUP(A38,Tabla_Datos,3,FALSE),0)</f>
        <v>0</v>
      </c>
      <c r="D38" s="424"/>
      <c r="E38" s="417">
        <f t="shared" ref="E38:E40" si="11">IFERROR(VLOOKUP(A38,Tabla_Comp_Presup,7,FALSE),0)</f>
        <v>0</v>
      </c>
      <c r="F38" s="417">
        <f t="shared" si="5"/>
        <v>0</v>
      </c>
      <c r="I38" s="428"/>
    </row>
    <row r="39" spans="1:9" ht="20.100000000000001" customHeight="1" x14ac:dyDescent="0.25">
      <c r="A39" s="427"/>
      <c r="B39" s="418">
        <f t="shared" si="9"/>
        <v>0</v>
      </c>
      <c r="C39" s="419">
        <f t="shared" si="10"/>
        <v>0</v>
      </c>
      <c r="D39" s="424"/>
      <c r="E39" s="417">
        <f t="shared" si="11"/>
        <v>0</v>
      </c>
      <c r="F39" s="417">
        <f t="shared" si="5"/>
        <v>0</v>
      </c>
      <c r="I39" s="428"/>
    </row>
    <row r="40" spans="1:9" ht="20.100000000000001" customHeight="1" x14ac:dyDescent="0.25">
      <c r="A40" s="427"/>
      <c r="B40" s="418">
        <f t="shared" si="9"/>
        <v>0</v>
      </c>
      <c r="C40" s="419">
        <f t="shared" si="10"/>
        <v>0</v>
      </c>
      <c r="D40" s="424"/>
      <c r="E40" s="417">
        <f t="shared" si="11"/>
        <v>0</v>
      </c>
      <c r="F40" s="417">
        <f t="shared" si="5"/>
        <v>0</v>
      </c>
      <c r="I40" s="428"/>
    </row>
    <row r="41" spans="1:9" ht="20.100000000000001" customHeight="1" x14ac:dyDescent="0.25">
      <c r="A41" s="427"/>
      <c r="B41" s="418">
        <f t="shared" ref="B41:B43" si="12">IFERROR(VLOOKUP(A41,Tabla_Datos,2,FALSE),0)</f>
        <v>0</v>
      </c>
      <c r="C41" s="419">
        <f t="shared" ref="C41:C43" si="13">IFERROR(VLOOKUP(A41,Tabla_Datos,3,FALSE),0)</f>
        <v>0</v>
      </c>
      <c r="D41" s="424"/>
      <c r="E41" s="417">
        <f t="shared" ref="E41:E43" si="14">IFERROR(VLOOKUP(A41,Tabla_Comp_Presup,7,FALSE),0)</f>
        <v>0</v>
      </c>
      <c r="F41" s="417">
        <f t="shared" si="5"/>
        <v>0</v>
      </c>
      <c r="I41" s="428"/>
    </row>
    <row r="42" spans="1:9" ht="20.100000000000001" customHeight="1" x14ac:dyDescent="0.25">
      <c r="A42" s="427"/>
      <c r="B42" s="418">
        <f t="shared" si="12"/>
        <v>0</v>
      </c>
      <c r="C42" s="419">
        <f t="shared" si="13"/>
        <v>0</v>
      </c>
      <c r="D42" s="424"/>
      <c r="E42" s="417">
        <f t="shared" si="14"/>
        <v>0</v>
      </c>
      <c r="F42" s="417">
        <f t="shared" si="5"/>
        <v>0</v>
      </c>
      <c r="I42" s="428"/>
    </row>
    <row r="43" spans="1:9" ht="20.100000000000001" customHeight="1" x14ac:dyDescent="0.25">
      <c r="A43" s="427"/>
      <c r="B43" s="418">
        <f t="shared" si="12"/>
        <v>0</v>
      </c>
      <c r="C43" s="419">
        <f t="shared" si="13"/>
        <v>0</v>
      </c>
      <c r="D43" s="424"/>
      <c r="E43" s="417">
        <f t="shared" si="14"/>
        <v>0</v>
      </c>
      <c r="F43" s="417">
        <f t="shared" si="5"/>
        <v>0</v>
      </c>
      <c r="I43" s="428"/>
    </row>
    <row r="44" spans="1:9" ht="20.100000000000001" customHeight="1" x14ac:dyDescent="0.25">
      <c r="A44" s="427"/>
      <c r="B44" s="418">
        <f t="shared" ref="B44:B47" si="15">IFERROR(VLOOKUP(A44,Tabla_Datos,2,FALSE),0)</f>
        <v>0</v>
      </c>
      <c r="C44" s="419">
        <f t="shared" ref="C44:C47" si="16">IFERROR(VLOOKUP(A44,Tabla_Datos,3,FALSE),0)</f>
        <v>0</v>
      </c>
      <c r="D44" s="424"/>
      <c r="E44" s="417">
        <f t="shared" ref="E44:E47" si="17">IFERROR(VLOOKUP(A44,Tabla_Comp_Presup,7,FALSE),0)</f>
        <v>0</v>
      </c>
      <c r="F44" s="417">
        <f t="shared" si="5"/>
        <v>0</v>
      </c>
      <c r="I44" s="428"/>
    </row>
    <row r="45" spans="1:9" ht="20.100000000000001" customHeight="1" x14ac:dyDescent="0.25">
      <c r="A45" s="427"/>
      <c r="B45" s="418">
        <f>IFERROR(VLOOKUP(A45,Tabla_Datos,2,FALSE),0)</f>
        <v>0</v>
      </c>
      <c r="C45" s="419">
        <f t="shared" si="16"/>
        <v>0</v>
      </c>
      <c r="D45" s="424"/>
      <c r="E45" s="417">
        <f t="shared" si="17"/>
        <v>0</v>
      </c>
      <c r="F45" s="417">
        <f t="shared" si="5"/>
        <v>0</v>
      </c>
    </row>
    <row r="46" spans="1:9" ht="20.100000000000001" customHeight="1" x14ac:dyDescent="0.25">
      <c r="A46" s="427"/>
      <c r="B46" s="418">
        <f t="shared" si="15"/>
        <v>0</v>
      </c>
      <c r="C46" s="419">
        <f t="shared" si="16"/>
        <v>0</v>
      </c>
      <c r="D46" s="424"/>
      <c r="E46" s="417">
        <f t="shared" si="17"/>
        <v>0</v>
      </c>
      <c r="F46" s="417">
        <f t="shared" si="5"/>
        <v>0</v>
      </c>
    </row>
    <row r="47" spans="1:9" ht="20.100000000000001" customHeight="1" x14ac:dyDescent="0.25">
      <c r="A47" s="427"/>
      <c r="B47" s="418">
        <f t="shared" si="15"/>
        <v>0</v>
      </c>
      <c r="C47" s="419">
        <f t="shared" si="16"/>
        <v>0</v>
      </c>
      <c r="D47" s="424"/>
      <c r="E47" s="417">
        <f t="shared" si="17"/>
        <v>0</v>
      </c>
      <c r="F47" s="417">
        <f t="shared" si="5"/>
        <v>0</v>
      </c>
    </row>
    <row r="48" spans="1:9" ht="20.100000000000001" customHeight="1" x14ac:dyDescent="0.25">
      <c r="A48" s="427"/>
      <c r="B48" s="418"/>
      <c r="C48" s="419"/>
      <c r="D48" s="424"/>
      <c r="E48" s="417"/>
      <c r="F48" s="417"/>
    </row>
    <row r="49" spans="1:6" ht="20.100000000000001" customHeight="1" x14ac:dyDescent="0.25">
      <c r="A49" s="427"/>
      <c r="B49" s="418"/>
      <c r="C49" s="419"/>
      <c r="D49" s="424"/>
      <c r="E49" s="417"/>
      <c r="F49" s="417"/>
    </row>
    <row r="50" spans="1:6" ht="20.100000000000001" customHeight="1" x14ac:dyDescent="0.25">
      <c r="A50" s="427"/>
      <c r="B50" s="418"/>
      <c r="C50" s="419"/>
      <c r="D50" s="424"/>
      <c r="E50" s="417"/>
      <c r="F50" s="417"/>
    </row>
    <row r="51" spans="1:6" ht="20.100000000000001" customHeight="1" x14ac:dyDescent="0.25">
      <c r="A51" s="427"/>
      <c r="B51" s="418"/>
      <c r="C51" s="419"/>
      <c r="D51" s="424"/>
      <c r="E51" s="417"/>
      <c r="F51" s="417"/>
    </row>
    <row r="52" spans="1:6" ht="20.100000000000001" customHeight="1" x14ac:dyDescent="0.25">
      <c r="A52" s="193"/>
      <c r="B52" s="194"/>
      <c r="C52" s="195"/>
      <c r="D52" s="196"/>
      <c r="E52" s="197"/>
      <c r="F52" s="197"/>
    </row>
    <row r="53" spans="1:6" ht="20.100000000000001" customHeight="1" x14ac:dyDescent="0.25">
      <c r="A53" s="390" t="s">
        <v>1106</v>
      </c>
      <c r="B53" s="391" t="s">
        <v>1162</v>
      </c>
      <c r="C53" s="392"/>
      <c r="D53" s="393"/>
      <c r="E53" s="394"/>
      <c r="F53" s="395">
        <f>ROUND(F62/Coef_Paso_Infraestructura,2)</f>
        <v>0</v>
      </c>
    </row>
    <row r="54" spans="1:6" ht="20.100000000000001" customHeight="1" x14ac:dyDescent="0.25">
      <c r="A54" s="396" t="s">
        <v>1107</v>
      </c>
      <c r="B54" s="397" t="str">
        <f>"COSTO FINANCIERO  "&amp;ROUND(Costo_Financiero*100,2)&amp;" % de ( 1 )"</f>
        <v>COSTO FINANCIERO  0 % de ( 1 )</v>
      </c>
      <c r="C54" s="398">
        <f>Costo_Financiero</f>
        <v>0</v>
      </c>
      <c r="D54" s="399"/>
      <c r="E54" s="400">
        <f>Costo_Financiero</f>
        <v>0</v>
      </c>
      <c r="F54" s="401">
        <f>ROUND(F53*Costo_Financiero,2)</f>
        <v>0</v>
      </c>
    </row>
    <row r="55" spans="1:6" ht="20.100000000000001" customHeight="1" x14ac:dyDescent="0.25">
      <c r="A55" s="396" t="s">
        <v>1108</v>
      </c>
      <c r="B55" s="397" t="s">
        <v>1158</v>
      </c>
      <c r="C55" s="398"/>
      <c r="D55" s="399"/>
      <c r="E55" s="402"/>
      <c r="F55" s="401">
        <f>F53+F54</f>
        <v>0</v>
      </c>
    </row>
    <row r="56" spans="1:6" ht="20.100000000000001" customHeight="1" x14ac:dyDescent="0.25">
      <c r="A56" s="396" t="s">
        <v>1109</v>
      </c>
      <c r="B56" s="403" t="str">
        <f>CONCATENATE("GASTOS GENERALES  ",ROUND(Gastos_Generales*100,3)," % de ( 3 )")</f>
        <v>GASTOS GENERALES  10 % de ( 3 )</v>
      </c>
      <c r="C56" s="400">
        <f>Gastos_Generales</f>
        <v>0.1</v>
      </c>
      <c r="D56" s="404"/>
      <c r="E56" s="402"/>
      <c r="F56" s="401">
        <f>ROUND(F55*Gastos_Generales,2)</f>
        <v>0</v>
      </c>
    </row>
    <row r="57" spans="1:6" ht="20.100000000000001" customHeight="1" x14ac:dyDescent="0.25">
      <c r="A57" s="396" t="s">
        <v>1110</v>
      </c>
      <c r="B57" s="403" t="str">
        <f>CONCATENATE("BENEFICIOS  ",ROUND(Beneficio*100,2)," % de ( 3 )")</f>
        <v>BENEFICIOS  10 % de ( 3 )</v>
      </c>
      <c r="C57" s="400">
        <f>Beneficio</f>
        <v>0.1</v>
      </c>
      <c r="D57" s="404"/>
      <c r="E57" s="402"/>
      <c r="F57" s="401">
        <f>ROUND(F55*Beneficio,2)</f>
        <v>0</v>
      </c>
    </row>
    <row r="58" spans="1:6" ht="20.100000000000001" customHeight="1" x14ac:dyDescent="0.25">
      <c r="A58" s="396">
        <v>6</v>
      </c>
      <c r="B58" s="397" t="s">
        <v>1159</v>
      </c>
      <c r="C58" s="402"/>
      <c r="D58" s="404"/>
      <c r="E58" s="402"/>
      <c r="F58" s="401">
        <f>F55+F56+F57</f>
        <v>0</v>
      </c>
    </row>
    <row r="59" spans="1:6" ht="20.100000000000001" customHeight="1" x14ac:dyDescent="0.25">
      <c r="A59" s="396" t="s">
        <v>1160</v>
      </c>
      <c r="B59" s="403" t="str">
        <f>CONCATENATE("INGRESOS BRUTOS Y LOTE HOGAR  ",ROUND(Ingresos_Brutos*100,2)," % de ( 6 )")</f>
        <v>INGRESOS BRUTOS Y LOTE HOGAR  2,4 % de ( 6 )</v>
      </c>
      <c r="C59" s="400">
        <f>Ingresos_Brutos</f>
        <v>2.4E-2</v>
      </c>
      <c r="D59" s="404"/>
      <c r="E59" s="402"/>
      <c r="F59" s="401">
        <f>IF(Ingresos_Brutos=0,,ROUND(Ingresos_Brutos*F58,2))</f>
        <v>0</v>
      </c>
    </row>
    <row r="60" spans="1:6" ht="20.100000000000001" customHeight="1" x14ac:dyDescent="0.25">
      <c r="A60" s="405" t="s">
        <v>1161</v>
      </c>
      <c r="B60" s="406" t="str">
        <f>CONCATENATE("IMPUESTO AL VALOR AGREGADO ",IVA_Vivienda*100," % de ( 6 )")</f>
        <v>IMPUESTO AL VALOR AGREGADO 0,000000000001 % de ( 6 )</v>
      </c>
      <c r="C60" s="407">
        <f>IVA_Infraestructura</f>
        <v>0.21</v>
      </c>
      <c r="D60" s="408"/>
      <c r="E60" s="409"/>
      <c r="F60" s="410">
        <f>IF(IVA_Infraestructura=0,,ROUND(IVA_Infraestructura*F58,2))</f>
        <v>0</v>
      </c>
    </row>
    <row r="61" spans="1:6" ht="20.100000000000001" customHeight="1" x14ac:dyDescent="0.25">
      <c r="A61" s="88"/>
      <c r="B61" s="83"/>
      <c r="C61" s="83"/>
      <c r="D61" s="84"/>
      <c r="E61" s="85"/>
      <c r="F61" s="2"/>
    </row>
    <row r="62" spans="1:6" ht="20.100000000000001" customHeight="1" x14ac:dyDescent="0.25">
      <c r="A62" s="420"/>
      <c r="B62" s="421" t="str">
        <f>"PRECIO TOTAL INFRAESTRUCTURA"</f>
        <v>PRECIO TOTAL INFRAESTRUCTURA</v>
      </c>
      <c r="C62" s="421"/>
      <c r="D62" s="422"/>
      <c r="E62" s="420"/>
      <c r="F62" s="423">
        <f>SUM(F11:F51)</f>
        <v>0</v>
      </c>
    </row>
  </sheetData>
  <sheetProtection formatCells="0" selectLockedCells="1"/>
  <mergeCells count="7">
    <mergeCell ref="E7:E8"/>
    <mergeCell ref="F7:F8"/>
    <mergeCell ref="A1:F1"/>
    <mergeCell ref="A7:A8"/>
    <mergeCell ref="B7:B8"/>
    <mergeCell ref="C7:C8"/>
    <mergeCell ref="D7:D8"/>
  </mergeCells>
  <conditionalFormatting sqref="A11:A51">
    <cfRule type="expression" dxfId="132" priority="86" stopIfTrue="1">
      <formula>#REF!&gt;0</formula>
    </cfRule>
    <cfRule type="expression" dxfId="131" priority="87" stopIfTrue="1">
      <formula>#REF!&gt;0</formula>
    </cfRule>
    <cfRule type="expression" dxfId="130" priority="88" stopIfTrue="1">
      <formula>#REF!&gt;0</formula>
    </cfRule>
  </conditionalFormatting>
  <conditionalFormatting sqref="B11:B51">
    <cfRule type="expression" dxfId="129" priority="57" stopIfTrue="1">
      <formula>#REF!&gt;0</formula>
    </cfRule>
    <cfRule type="expression" dxfId="128" priority="58" stopIfTrue="1">
      <formula>#REF!&gt;0</formula>
    </cfRule>
    <cfRule type="expression" dxfId="127" priority="59" stopIfTrue="1">
      <formula>#REF!&gt;0</formula>
    </cfRule>
  </conditionalFormatting>
  <conditionalFormatting sqref="A10:B47 A48:A51">
    <cfRule type="expression" dxfId="126" priority="47">
      <formula>$D10=0</formula>
    </cfRule>
  </conditionalFormatting>
  <conditionalFormatting sqref="A10:B12 B12:B47 A48:B48 B49 A13:A51">
    <cfRule type="expression" dxfId="125" priority="44" stopIfTrue="1">
      <formula>#REF!&gt;0</formula>
    </cfRule>
    <cfRule type="expression" dxfId="124" priority="45" stopIfTrue="1">
      <formula>#REF!&gt;0</formula>
    </cfRule>
    <cfRule type="expression" dxfId="123" priority="46" stopIfTrue="1">
      <formula>#REF!&gt;0</formula>
    </cfRule>
  </conditionalFormatting>
  <conditionalFormatting sqref="F53">
    <cfRule type="expression" dxfId="122" priority="2" stopIfTrue="1">
      <formula>#REF!=1</formula>
    </cfRule>
  </conditionalFormatting>
  <conditionalFormatting sqref="B52">
    <cfRule type="expression" dxfId="121" priority="24" stopIfTrue="1">
      <formula>$C52=0</formula>
    </cfRule>
  </conditionalFormatting>
  <conditionalFormatting sqref="A52">
    <cfRule type="expression" dxfId="120" priority="23" stopIfTrue="1">
      <formula>$C52=0</formula>
    </cfRule>
  </conditionalFormatting>
  <conditionalFormatting sqref="F60">
    <cfRule type="expression" dxfId="119" priority="1" stopIfTrue="1">
      <formula>#REF!=1</formula>
    </cfRule>
  </conditionalFormatting>
  <conditionalFormatting sqref="A48:B48">
    <cfRule type="expression" dxfId="118" priority="96">
      <formula>$D49=0</formula>
    </cfRule>
  </conditionalFormatting>
  <conditionalFormatting sqref="A49:B49">
    <cfRule type="expression" dxfId="117" priority="100">
      <formula>#REF!=0</formula>
    </cfRule>
  </conditionalFormatting>
  <pageMargins left="0.78740157480314965" right="0.39370078740157483"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workbookViewId="0">
      <selection activeCell="H19" sqref="H19"/>
    </sheetView>
  </sheetViews>
  <sheetFormatPr baseColWidth="10" defaultRowHeight="13.2" x14ac:dyDescent="0.25"/>
  <cols>
    <col min="1" max="1" width="18.5546875" customWidth="1"/>
    <col min="2" max="2" width="62.33203125" customWidth="1"/>
    <col min="3" max="3" width="18.33203125" customWidth="1"/>
    <col min="4" max="4" width="17.88671875" customWidth="1"/>
    <col min="5" max="5" width="22" customWidth="1"/>
    <col min="6" max="6" width="22.109375" customWidth="1"/>
  </cols>
  <sheetData>
    <row r="1" spans="1:6" ht="23.1" customHeight="1" x14ac:dyDescent="0.25">
      <c r="A1" s="587" t="s">
        <v>1251</v>
      </c>
      <c r="B1" s="587"/>
      <c r="C1" s="587"/>
      <c r="D1" s="587"/>
      <c r="E1" s="587"/>
      <c r="F1" s="587"/>
    </row>
    <row r="2" spans="1:6" ht="23.1" customHeight="1" x14ac:dyDescent="0.25">
      <c r="A2" s="94" t="s">
        <v>1230</v>
      </c>
      <c r="B2" s="93" t="str">
        <f>Obra</f>
        <v>LA NAVE - 103 DEPARTAMENTOS - CAPITAL</v>
      </c>
      <c r="C2" s="150"/>
      <c r="D2" s="95"/>
      <c r="E2" s="95"/>
      <c r="F2" s="95"/>
    </row>
    <row r="3" spans="1:6" ht="23.1" customHeight="1" x14ac:dyDescent="0.25">
      <c r="A3" s="94" t="s">
        <v>1231</v>
      </c>
      <c r="B3" s="93" t="str">
        <f>Ubicación</f>
        <v>CAPITAL</v>
      </c>
      <c r="C3" s="95"/>
      <c r="D3" s="95"/>
      <c r="E3" s="95"/>
      <c r="F3" s="95"/>
    </row>
    <row r="4" spans="1:6" ht="23.1" customHeight="1" x14ac:dyDescent="0.25">
      <c r="A4" s="94" t="s">
        <v>1127</v>
      </c>
      <c r="B4" s="98" t="s">
        <v>1541</v>
      </c>
      <c r="C4" s="94"/>
      <c r="D4" s="95"/>
      <c r="E4" s="95"/>
      <c r="F4" s="95"/>
    </row>
    <row r="5" spans="1:6" ht="23.1" customHeight="1" x14ac:dyDescent="0.25">
      <c r="A5" s="94" t="s">
        <v>1156</v>
      </c>
      <c r="B5" s="338">
        <v>1</v>
      </c>
      <c r="C5" s="94"/>
      <c r="D5" s="95"/>
      <c r="E5" s="95"/>
      <c r="F5" s="95"/>
    </row>
    <row r="6" spans="1:6" ht="23.1" customHeight="1" x14ac:dyDescent="0.25">
      <c r="A6" s="132"/>
      <c r="B6" s="135"/>
      <c r="C6" s="132"/>
      <c r="D6" s="132"/>
      <c r="E6" s="132"/>
      <c r="F6" s="132"/>
    </row>
    <row r="7" spans="1:6" ht="23.1" customHeight="1" x14ac:dyDescent="0.25">
      <c r="A7" s="588" t="s">
        <v>1105</v>
      </c>
      <c r="B7" s="590" t="s">
        <v>0</v>
      </c>
      <c r="C7" s="588" t="s">
        <v>1</v>
      </c>
      <c r="D7" s="588" t="s">
        <v>2</v>
      </c>
      <c r="E7" s="588" t="s">
        <v>1148</v>
      </c>
      <c r="F7" s="588" t="s">
        <v>1157</v>
      </c>
    </row>
    <row r="8" spans="1:6" ht="23.1" customHeight="1" x14ac:dyDescent="0.25">
      <c r="A8" s="589"/>
      <c r="B8" s="591"/>
      <c r="C8" s="589"/>
      <c r="D8" s="589"/>
      <c r="E8" s="589"/>
      <c r="F8" s="589"/>
    </row>
    <row r="9" spans="1:6" ht="23.1" customHeight="1" x14ac:dyDescent="0.25">
      <c r="A9" s="198"/>
      <c r="B9" s="136"/>
      <c r="C9" s="140"/>
      <c r="D9" s="140"/>
      <c r="E9" s="200"/>
      <c r="F9" s="201"/>
    </row>
    <row r="10" spans="1:6" ht="23.1" customHeight="1" x14ac:dyDescent="0.25">
      <c r="A10" s="223" t="s">
        <v>1124</v>
      </c>
      <c r="B10" s="224" t="str">
        <f t="shared" ref="B10:B45" si="0">IFERROR(VLOOKUP(A10,Tabla_Datos,2,FALSE),0)</f>
        <v>DEPARTAMENTOS</v>
      </c>
      <c r="C10" s="225"/>
      <c r="D10" s="226"/>
      <c r="E10" s="227"/>
      <c r="F10" s="227"/>
    </row>
    <row r="11" spans="1:6" ht="23.1" customHeight="1" x14ac:dyDescent="0.25">
      <c r="A11" s="513">
        <v>20</v>
      </c>
      <c r="B11" s="454" t="str">
        <f t="shared" si="0"/>
        <v>ESTRUCTURA RESISTENTE</v>
      </c>
      <c r="C11" s="455"/>
      <c r="D11" s="485"/>
      <c r="E11" s="487"/>
      <c r="F11" s="487"/>
    </row>
    <row r="12" spans="1:6" ht="23.1" customHeight="1" x14ac:dyDescent="0.25">
      <c r="A12" s="513" t="s">
        <v>1261</v>
      </c>
      <c r="B12" s="454" t="str">
        <f t="shared" si="0"/>
        <v>Contrapisos de H° A° - Esp. 0,10m. (incluye solo Torre con 9 niveles)</v>
      </c>
      <c r="C12" s="455" t="str">
        <f t="shared" ref="C12:C45" si="1">IFERROR(VLOOKUP(A12,Tabla_Datos,3,FALSE),0)</f>
        <v>m2</v>
      </c>
      <c r="D12" s="485">
        <v>0</v>
      </c>
      <c r="E12" s="487">
        <f t="shared" ref="E12:E45" si="2">IFERROR(VLOOKUP(A12,Tabla_Comp_Presup,7,FALSE),0)</f>
        <v>0</v>
      </c>
      <c r="F12" s="487">
        <f t="shared" ref="F12:F45" si="3">ROUND(D12*E12,15)</f>
        <v>0</v>
      </c>
    </row>
    <row r="13" spans="1:6" ht="23.1" customHeight="1" x14ac:dyDescent="0.25">
      <c r="A13" s="513" t="s">
        <v>1459</v>
      </c>
      <c r="B13" s="454" t="str">
        <f t="shared" si="0"/>
        <v>Contrapisos de H° A° - Esp. 0,10m. (incluye Estacionamientos, Sala de Máquinas y Bombeo en Subsuelo)</v>
      </c>
      <c r="C13" s="455" t="str">
        <f t="shared" si="1"/>
        <v>m2</v>
      </c>
      <c r="D13" s="485">
        <v>2043</v>
      </c>
      <c r="E13" s="487">
        <f t="shared" si="2"/>
        <v>0</v>
      </c>
      <c r="F13" s="487">
        <f t="shared" si="3"/>
        <v>0</v>
      </c>
    </row>
    <row r="14" spans="1:6" ht="23.1" customHeight="1" x14ac:dyDescent="0.25">
      <c r="A14" s="513" t="s">
        <v>1460</v>
      </c>
      <c r="B14" s="454" t="str">
        <f t="shared" si="0"/>
        <v>Contrapisos de H° A° - Esp. 0,10m. (incluye solo Bloque Sur y Bloque Oeste con 5 niveles)</v>
      </c>
      <c r="C14" s="455" t="str">
        <f t="shared" si="1"/>
        <v>m2</v>
      </c>
      <c r="D14" s="485">
        <v>839</v>
      </c>
      <c r="E14" s="487">
        <f t="shared" si="2"/>
        <v>0</v>
      </c>
      <c r="F14" s="487">
        <f t="shared" si="3"/>
        <v>0</v>
      </c>
    </row>
    <row r="15" spans="1:6" ht="23.1" customHeight="1" x14ac:dyDescent="0.25">
      <c r="A15" s="513" t="s">
        <v>1461</v>
      </c>
      <c r="B15" s="454" t="str">
        <f t="shared" si="0"/>
        <v>Escalera de H° A° (incluye solo Torre con 9 niveles)</v>
      </c>
      <c r="C15" s="455" t="str">
        <f t="shared" si="1"/>
        <v>m2</v>
      </c>
      <c r="D15" s="485">
        <v>0</v>
      </c>
      <c r="E15" s="487">
        <f t="shared" si="2"/>
        <v>0</v>
      </c>
      <c r="F15" s="487">
        <f t="shared" si="3"/>
        <v>0</v>
      </c>
    </row>
    <row r="16" spans="1:6" ht="23.1" customHeight="1" x14ac:dyDescent="0.25">
      <c r="A16" s="513" t="s">
        <v>1462</v>
      </c>
      <c r="B16" s="454" t="str">
        <f t="shared" si="0"/>
        <v>Escalera de H° A° (incluye solo Bloque Sur y Bloque Oeste con 5 niveles)</v>
      </c>
      <c r="C16" s="455" t="str">
        <f t="shared" si="1"/>
        <v>m2</v>
      </c>
      <c r="D16" s="485">
        <v>110.28</v>
      </c>
      <c r="E16" s="487">
        <f t="shared" si="2"/>
        <v>0</v>
      </c>
      <c r="F16" s="487">
        <f t="shared" si="3"/>
        <v>0</v>
      </c>
    </row>
    <row r="17" spans="1:6" ht="23.1" customHeight="1" x14ac:dyDescent="0.25">
      <c r="A17" s="513" t="s">
        <v>1463</v>
      </c>
      <c r="B17" s="454" t="str">
        <f t="shared" si="0"/>
        <v>Pisos</v>
      </c>
      <c r="C17" s="455" t="str">
        <f t="shared" si="1"/>
        <v>m2</v>
      </c>
      <c r="D17" s="485">
        <v>1087.1600000000001</v>
      </c>
      <c r="E17" s="487">
        <f t="shared" si="2"/>
        <v>0</v>
      </c>
      <c r="F17" s="487">
        <f>ROUND(D17*E17,15)</f>
        <v>0</v>
      </c>
    </row>
    <row r="18" spans="1:6" ht="23.1" customHeight="1" x14ac:dyDescent="0.25">
      <c r="A18" s="513" t="s">
        <v>1464</v>
      </c>
      <c r="B18" s="454" t="str">
        <f t="shared" si="0"/>
        <v>Areas verdes (gramineas) en panes (incluye todo los espacios verdes del predio Planta Baja y Subsuelo)</v>
      </c>
      <c r="C18" s="455" t="str">
        <f t="shared" si="1"/>
        <v>m2</v>
      </c>
      <c r="D18" s="485">
        <v>0</v>
      </c>
      <c r="E18" s="487">
        <f t="shared" si="2"/>
        <v>0</v>
      </c>
      <c r="F18" s="487">
        <f>ROUND(D18*E18,15)</f>
        <v>0</v>
      </c>
    </row>
    <row r="19" spans="1:6" ht="23.1" customHeight="1" x14ac:dyDescent="0.25">
      <c r="A19" s="513" t="s">
        <v>1465</v>
      </c>
      <c r="B19" s="454" t="str">
        <f t="shared" si="0"/>
        <v>Especies arbóreas (incluyen todas las que se encuentran en el predio Planta Baja y Subsuelo)</v>
      </c>
      <c r="C19" s="455" t="str">
        <f t="shared" si="1"/>
        <v>u</v>
      </c>
      <c r="D19" s="485">
        <v>0</v>
      </c>
      <c r="E19" s="487">
        <f t="shared" si="2"/>
        <v>0</v>
      </c>
      <c r="F19" s="487">
        <f t="shared" si="3"/>
        <v>0</v>
      </c>
    </row>
    <row r="20" spans="1:6" ht="23.1" customHeight="1" x14ac:dyDescent="0.25">
      <c r="A20" s="513" t="s">
        <v>1466</v>
      </c>
      <c r="B20" s="454" t="str">
        <f>IFERROR(VLOOKUP(A20,Tabla_Datos,2,FALSE),0)</f>
        <v>Rampas Vehiculares (Planta Baja-Subsuelo)</v>
      </c>
      <c r="C20" s="455" t="str">
        <f>IFERROR(VLOOKUP(A20,Tabla_Datos,3,FALSE),0)</f>
        <v>m2</v>
      </c>
      <c r="D20" s="485">
        <v>0</v>
      </c>
      <c r="E20" s="487">
        <f>IFERROR(VLOOKUP(A20,Tabla_Comp_Presup,7,FALSE),0)</f>
        <v>0</v>
      </c>
      <c r="F20" s="487">
        <f>ROUND(D20*E20,15)</f>
        <v>0</v>
      </c>
    </row>
    <row r="21" spans="1:6" ht="23.1" customHeight="1" x14ac:dyDescent="0.25">
      <c r="A21" s="513" t="s">
        <v>1467</v>
      </c>
      <c r="B21" s="454" t="str">
        <f>IFERROR(VLOOKUP(A21,Tabla_Datos,2,FALSE),0)</f>
        <v>Rampas Peatonales (Planta Baja)</v>
      </c>
      <c r="C21" s="455" t="str">
        <f>IFERROR(VLOOKUP(A21,Tabla_Datos,3,FALSE),0)</f>
        <v>m2</v>
      </c>
      <c r="D21" s="485">
        <v>0</v>
      </c>
      <c r="E21" s="487">
        <f>IFERROR(VLOOKUP(A21,Tabla_Comp_Presup,7,FALSE),0)</f>
        <v>0</v>
      </c>
      <c r="F21" s="487">
        <f>ROUND(D21*E21,15)</f>
        <v>0</v>
      </c>
    </row>
    <row r="22" spans="1:6" ht="23.1" customHeight="1" x14ac:dyDescent="0.25">
      <c r="A22" s="513" t="s">
        <v>1468</v>
      </c>
      <c r="B22" s="454" t="str">
        <f>IFERROR(VLOOKUP(A22,Tabla_Datos,2,FALSE),0)</f>
        <v>Pisos de hormigón llaneado y rodillado (Senderos) (incluye en todo el predio de Planta Baja)</v>
      </c>
      <c r="C22" s="455" t="str">
        <f>IFERROR(VLOOKUP(A22,Tabla_Datos,3,FALSE),0)</f>
        <v>m2</v>
      </c>
      <c r="D22" s="485">
        <v>0</v>
      </c>
      <c r="E22" s="487">
        <f>IFERROR(VLOOKUP(A22,Tabla_Comp_Presup,7,FALSE),0)</f>
        <v>0</v>
      </c>
      <c r="F22" s="487">
        <f>ROUND(D22*E22,15)</f>
        <v>0</v>
      </c>
    </row>
    <row r="23" spans="1:6" ht="23.1" customHeight="1" x14ac:dyDescent="0.25">
      <c r="A23" s="513" t="s">
        <v>1469</v>
      </c>
      <c r="B23" s="454" t="str">
        <f t="shared" si="0"/>
        <v>Barandas metálicas en escaleras, rampas peatonales, balcones y pasillos</v>
      </c>
      <c r="C23" s="455" t="str">
        <f t="shared" si="1"/>
        <v>ml</v>
      </c>
      <c r="D23" s="485">
        <v>461.32</v>
      </c>
      <c r="E23" s="487">
        <f t="shared" si="2"/>
        <v>0</v>
      </c>
      <c r="F23" s="487">
        <f t="shared" si="3"/>
        <v>0</v>
      </c>
    </row>
    <row r="24" spans="1:6" ht="23.1" customHeight="1" x14ac:dyDescent="0.25">
      <c r="A24" s="513" t="s">
        <v>1470</v>
      </c>
      <c r="B24" s="454" t="str">
        <f t="shared" si="0"/>
        <v>Cajas de Escalera y Ascensor (Torre 9 niveles)</v>
      </c>
      <c r="C24" s="455" t="str">
        <f t="shared" si="1"/>
        <v>u</v>
      </c>
      <c r="D24" s="485">
        <v>0</v>
      </c>
      <c r="E24" s="487">
        <f t="shared" si="2"/>
        <v>0</v>
      </c>
      <c r="F24" s="487">
        <f t="shared" si="3"/>
        <v>0</v>
      </c>
    </row>
    <row r="25" spans="1:6" ht="23.1" customHeight="1" x14ac:dyDescent="0.25">
      <c r="A25" s="513" t="s">
        <v>1493</v>
      </c>
      <c r="B25" s="454" t="str">
        <f t="shared" ref="B25:B26" si="4">IFERROR(VLOOKUP(A25,Tabla_Datos,2,FALSE),0)</f>
        <v>Cajas de Escalera y Ascensor (Alas 5 niveles)</v>
      </c>
      <c r="C25" s="455" t="str">
        <f t="shared" ref="C25:C26" si="5">IFERROR(VLOOKUP(A25,Tabla_Datos,3,FALSE),0)</f>
        <v>u</v>
      </c>
      <c r="D25" s="485">
        <v>2</v>
      </c>
      <c r="E25" s="487">
        <f t="shared" ref="E25:E26" si="6">IFERROR(VLOOKUP(A25,Tabla_Comp_Presup,7,FALSE),0)</f>
        <v>0</v>
      </c>
      <c r="F25" s="487">
        <f t="shared" ref="F25:F26" si="7">ROUND(D25*E25,15)</f>
        <v>0</v>
      </c>
    </row>
    <row r="26" spans="1:6" ht="23.1" customHeight="1" x14ac:dyDescent="0.25">
      <c r="A26" s="513" t="s">
        <v>1494</v>
      </c>
      <c r="B26" s="454" t="str">
        <f t="shared" si="4"/>
        <v>Bancos en espacios verdes (H° A° y listones de madera)</v>
      </c>
      <c r="C26" s="455" t="str">
        <f t="shared" si="5"/>
        <v>ml</v>
      </c>
      <c r="D26" s="485">
        <v>0</v>
      </c>
      <c r="E26" s="487">
        <f t="shared" si="6"/>
        <v>0</v>
      </c>
      <c r="F26" s="487">
        <f t="shared" si="7"/>
        <v>0</v>
      </c>
    </row>
    <row r="27" spans="1:6" ht="23.1" customHeight="1" x14ac:dyDescent="0.25">
      <c r="A27" s="513">
        <v>21</v>
      </c>
      <c r="B27" s="454" t="str">
        <f t="shared" si="0"/>
        <v>ESPACIOS COMUNES - INSTALACION ELECTRICA</v>
      </c>
      <c r="C27" s="455"/>
      <c r="D27" s="485"/>
      <c r="E27" s="487"/>
      <c r="F27" s="487"/>
    </row>
    <row r="28" spans="1:6" ht="23.1" customHeight="1" x14ac:dyDescent="0.25">
      <c r="A28" s="513" t="s">
        <v>1471</v>
      </c>
      <c r="B28" s="454" t="str">
        <f t="shared" si="0"/>
        <v>Instalación eléctrica (Cableado)</v>
      </c>
      <c r="C28" s="455" t="str">
        <f t="shared" si="1"/>
        <v>ml</v>
      </c>
      <c r="D28" s="485">
        <v>3500</v>
      </c>
      <c r="E28" s="487">
        <f t="shared" si="2"/>
        <v>0</v>
      </c>
      <c r="F28" s="487">
        <f t="shared" si="3"/>
        <v>0</v>
      </c>
    </row>
    <row r="29" spans="1:6" ht="23.1" customHeight="1" x14ac:dyDescent="0.25">
      <c r="A29" s="513" t="s">
        <v>1472</v>
      </c>
      <c r="B29" s="454" t="str">
        <f t="shared" si="0"/>
        <v>Alimentación en baja tensión (Conexión a red, medidor y pilar reglam.)</v>
      </c>
      <c r="C29" s="455" t="str">
        <f t="shared" si="1"/>
        <v>u</v>
      </c>
      <c r="D29" s="485">
        <v>1</v>
      </c>
      <c r="E29" s="487">
        <f t="shared" si="2"/>
        <v>0</v>
      </c>
      <c r="F29" s="487">
        <f t="shared" si="3"/>
        <v>0</v>
      </c>
    </row>
    <row r="30" spans="1:6" ht="23.1" customHeight="1" x14ac:dyDescent="0.25">
      <c r="A30" s="513" t="s">
        <v>1473</v>
      </c>
      <c r="B30" s="454" t="str">
        <f t="shared" si="0"/>
        <v>Tablero principal</v>
      </c>
      <c r="C30" s="455" t="str">
        <f t="shared" si="1"/>
        <v>u</v>
      </c>
      <c r="D30" s="485">
        <v>8</v>
      </c>
      <c r="E30" s="487">
        <f t="shared" si="2"/>
        <v>0</v>
      </c>
      <c r="F30" s="487">
        <f t="shared" si="3"/>
        <v>0</v>
      </c>
    </row>
    <row r="31" spans="1:6" ht="23.1" customHeight="1" x14ac:dyDescent="0.25">
      <c r="A31" s="513" t="s">
        <v>1474</v>
      </c>
      <c r="B31" s="454" t="str">
        <f t="shared" si="0"/>
        <v>Bocas iluminación espacio comun</v>
      </c>
      <c r="C31" s="455" t="str">
        <f t="shared" si="1"/>
        <v>u</v>
      </c>
      <c r="D31" s="485">
        <v>222</v>
      </c>
      <c r="E31" s="487">
        <f t="shared" si="2"/>
        <v>0</v>
      </c>
      <c r="F31" s="487">
        <f t="shared" si="3"/>
        <v>0</v>
      </c>
    </row>
    <row r="32" spans="1:6" ht="23.1" customHeight="1" x14ac:dyDescent="0.25">
      <c r="A32" s="513" t="s">
        <v>1475</v>
      </c>
      <c r="B32" s="454" t="str">
        <f t="shared" si="0"/>
        <v>Boca iluminacion espacio verde</v>
      </c>
      <c r="C32" s="455" t="str">
        <f t="shared" si="1"/>
        <v>u</v>
      </c>
      <c r="D32" s="485">
        <v>44</v>
      </c>
      <c r="E32" s="487">
        <f t="shared" si="2"/>
        <v>0</v>
      </c>
      <c r="F32" s="487">
        <f t="shared" si="3"/>
        <v>0</v>
      </c>
    </row>
    <row r="33" spans="1:6" ht="23.1" customHeight="1" x14ac:dyDescent="0.25">
      <c r="A33" s="513" t="s">
        <v>1476</v>
      </c>
      <c r="B33" s="454" t="str">
        <f t="shared" si="0"/>
        <v>Cañerias</v>
      </c>
      <c r="C33" s="455" t="str">
        <f t="shared" si="1"/>
        <v>u</v>
      </c>
      <c r="D33" s="485">
        <v>1120</v>
      </c>
      <c r="E33" s="487">
        <f t="shared" si="2"/>
        <v>0</v>
      </c>
      <c r="F33" s="487">
        <f t="shared" si="3"/>
        <v>0</v>
      </c>
    </row>
    <row r="34" spans="1:6" ht="23.1" customHeight="1" x14ac:dyDescent="0.25">
      <c r="A34" s="513" t="s">
        <v>1477</v>
      </c>
      <c r="B34" s="454" t="str">
        <f t="shared" si="0"/>
        <v>Conectores y uniones</v>
      </c>
      <c r="C34" s="455" t="str">
        <f t="shared" si="1"/>
        <v>u</v>
      </c>
      <c r="D34" s="485">
        <v>500</v>
      </c>
      <c r="E34" s="487">
        <f t="shared" si="2"/>
        <v>0</v>
      </c>
      <c r="F34" s="487">
        <f t="shared" si="3"/>
        <v>0</v>
      </c>
    </row>
    <row r="35" spans="1:6" ht="23.1" customHeight="1" x14ac:dyDescent="0.25">
      <c r="A35" s="513" t="s">
        <v>1478</v>
      </c>
      <c r="B35" s="454" t="str">
        <f t="shared" si="0"/>
        <v>Subterraneo</v>
      </c>
      <c r="C35" s="455" t="str">
        <f t="shared" si="1"/>
        <v>u</v>
      </c>
      <c r="D35" s="485">
        <v>300</v>
      </c>
      <c r="E35" s="487">
        <f t="shared" si="2"/>
        <v>0</v>
      </c>
      <c r="F35" s="487">
        <f t="shared" si="3"/>
        <v>0</v>
      </c>
    </row>
    <row r="36" spans="1:6" ht="23.1" customHeight="1" x14ac:dyDescent="0.25">
      <c r="A36" s="513" t="s">
        <v>1479</v>
      </c>
      <c r="B36" s="454" t="str">
        <f t="shared" si="0"/>
        <v>Subestaciones (Torre)</v>
      </c>
      <c r="C36" s="455" t="str">
        <f t="shared" si="1"/>
        <v>u</v>
      </c>
      <c r="D36" s="485">
        <v>0</v>
      </c>
      <c r="E36" s="487">
        <f t="shared" si="2"/>
        <v>0</v>
      </c>
      <c r="F36" s="487">
        <f t="shared" si="3"/>
        <v>0</v>
      </c>
    </row>
    <row r="37" spans="1:6" ht="23.1" customHeight="1" x14ac:dyDescent="0.25">
      <c r="A37" s="513" t="s">
        <v>1508</v>
      </c>
      <c r="B37" s="454" t="str">
        <f t="shared" ref="B37" si="8">IFERROR(VLOOKUP(A37,Tabla_Datos,2,FALSE),0)</f>
        <v>Subestaciones (Alas)</v>
      </c>
      <c r="C37" s="455" t="str">
        <f t="shared" ref="C37" si="9">IFERROR(VLOOKUP(A37,Tabla_Datos,3,FALSE),0)</f>
        <v>u</v>
      </c>
      <c r="D37" s="485">
        <v>2</v>
      </c>
      <c r="E37" s="487">
        <f t="shared" ref="E37" si="10">IFERROR(VLOOKUP(A37,Tabla_Comp_Presup,7,FALSE),0)</f>
        <v>0</v>
      </c>
      <c r="F37" s="487">
        <f t="shared" ref="F37" si="11">ROUND(D37*E37,15)</f>
        <v>0</v>
      </c>
    </row>
    <row r="38" spans="1:6" ht="23.1" customHeight="1" x14ac:dyDescent="0.25">
      <c r="A38" s="513">
        <v>22</v>
      </c>
      <c r="B38" s="454" t="str">
        <f t="shared" si="0"/>
        <v>ESPACIOS COMUNES - INSTALACIONES SANITARIAS</v>
      </c>
      <c r="C38" s="455"/>
      <c r="D38" s="485"/>
      <c r="E38" s="487"/>
      <c r="F38" s="487"/>
    </row>
    <row r="39" spans="1:6" ht="23.1" customHeight="1" x14ac:dyDescent="0.25">
      <c r="A39" s="513" t="s">
        <v>1480</v>
      </c>
      <c r="B39" s="454" t="str">
        <f t="shared" si="0"/>
        <v>Caño Ø160</v>
      </c>
      <c r="C39" s="455" t="str">
        <f t="shared" si="1"/>
        <v>ml</v>
      </c>
      <c r="D39" s="485">
        <v>46</v>
      </c>
      <c r="E39" s="487">
        <f t="shared" si="2"/>
        <v>0</v>
      </c>
      <c r="F39" s="487">
        <f t="shared" si="3"/>
        <v>0</v>
      </c>
    </row>
    <row r="40" spans="1:6" ht="23.1" customHeight="1" x14ac:dyDescent="0.25">
      <c r="A40" s="513" t="s">
        <v>1481</v>
      </c>
      <c r="B40" s="454" t="str">
        <f t="shared" si="0"/>
        <v>Caño Ø110</v>
      </c>
      <c r="C40" s="455" t="str">
        <f t="shared" si="1"/>
        <v>ml</v>
      </c>
      <c r="D40" s="485">
        <v>170</v>
      </c>
      <c r="E40" s="487">
        <f t="shared" si="2"/>
        <v>0</v>
      </c>
      <c r="F40" s="487">
        <f t="shared" si="3"/>
        <v>0</v>
      </c>
    </row>
    <row r="41" spans="1:6" ht="23.1" customHeight="1" x14ac:dyDescent="0.25">
      <c r="A41" s="513" t="s">
        <v>1482</v>
      </c>
      <c r="B41" s="454" t="str">
        <f t="shared" si="0"/>
        <v>Cámara de inspección 60x60</v>
      </c>
      <c r="C41" s="455" t="str">
        <f t="shared" si="1"/>
        <v>u</v>
      </c>
      <c r="D41" s="485">
        <v>10</v>
      </c>
      <c r="E41" s="487">
        <f t="shared" si="2"/>
        <v>0</v>
      </c>
      <c r="F41" s="487">
        <f t="shared" si="3"/>
        <v>0</v>
      </c>
    </row>
    <row r="42" spans="1:6" ht="23.1" customHeight="1" x14ac:dyDescent="0.25">
      <c r="A42" s="513" t="s">
        <v>1483</v>
      </c>
      <c r="B42" s="454" t="str">
        <f t="shared" si="0"/>
        <v>Ramal Y Ø110</v>
      </c>
      <c r="C42" s="455" t="str">
        <f t="shared" si="1"/>
        <v>u</v>
      </c>
      <c r="D42" s="485">
        <v>15</v>
      </c>
      <c r="E42" s="487">
        <f t="shared" si="2"/>
        <v>0</v>
      </c>
      <c r="F42" s="487">
        <f t="shared" si="3"/>
        <v>0</v>
      </c>
    </row>
    <row r="43" spans="1:6" ht="23.1" customHeight="1" x14ac:dyDescent="0.25">
      <c r="A43" s="513" t="s">
        <v>1484</v>
      </c>
      <c r="B43" s="454" t="str">
        <f t="shared" si="0"/>
        <v>Codo a 90° Ø110</v>
      </c>
      <c r="C43" s="455" t="str">
        <f t="shared" si="1"/>
        <v>u</v>
      </c>
      <c r="D43" s="485">
        <v>16</v>
      </c>
      <c r="E43" s="487">
        <f t="shared" si="2"/>
        <v>0</v>
      </c>
      <c r="F43" s="487">
        <f t="shared" si="3"/>
        <v>0</v>
      </c>
    </row>
    <row r="44" spans="1:6" ht="23.1" customHeight="1" x14ac:dyDescent="0.25">
      <c r="A44" s="513">
        <v>23</v>
      </c>
      <c r="B44" s="454" t="str">
        <f t="shared" si="0"/>
        <v>ESPACIOS COMUNES - CONEXIONES TANQUE Y CISTERNA</v>
      </c>
      <c r="C44" s="455"/>
      <c r="D44" s="485"/>
      <c r="E44" s="487"/>
      <c r="F44" s="487"/>
    </row>
    <row r="45" spans="1:6" ht="23.1" customHeight="1" x14ac:dyDescent="0.25">
      <c r="A45" s="513" t="s">
        <v>1485</v>
      </c>
      <c r="B45" s="454" t="str">
        <f t="shared" si="0"/>
        <v>Conexiones domiciliarias PEAD PN 16 Ø25 (incluye accesorios y kit de conexión)</v>
      </c>
      <c r="C45" s="455" t="str">
        <f t="shared" si="1"/>
        <v>u</v>
      </c>
      <c r="D45" s="485">
        <v>4</v>
      </c>
      <c r="E45" s="487">
        <f t="shared" si="2"/>
        <v>0</v>
      </c>
      <c r="F45" s="487">
        <f t="shared" si="3"/>
        <v>0</v>
      </c>
    </row>
    <row r="46" spans="1:6" ht="23.1" customHeight="1" x14ac:dyDescent="0.25">
      <c r="A46" s="513" t="s">
        <v>1486</v>
      </c>
      <c r="B46" s="454" t="str">
        <f>IFERROR(VLOOKUP(A46,Tabla_Datos,2,FALSE),0)</f>
        <v xml:space="preserve">Llaves de paso Ø25 </v>
      </c>
      <c r="C46" s="455" t="str">
        <f>IFERROR(VLOOKUP(A46,Tabla_Datos,3,FALSE),0)</f>
        <v>u</v>
      </c>
      <c r="D46" s="485">
        <v>4</v>
      </c>
      <c r="E46" s="487">
        <f>IFERROR(VLOOKUP(A46,Tabla_Comp_Presup,7,FALSE),0)</f>
        <v>0</v>
      </c>
      <c r="F46" s="487">
        <f>ROUND(D46*E46,15)</f>
        <v>0</v>
      </c>
    </row>
    <row r="47" spans="1:6" ht="23.1" customHeight="1" x14ac:dyDescent="0.25">
      <c r="A47" s="513" t="s">
        <v>1487</v>
      </c>
      <c r="B47" s="454" t="str">
        <f t="shared" ref="B47" si="12">IFERROR(VLOOKUP(A47,Tabla_Datos,2,FALSE),0)</f>
        <v>Cañería PPL Ø25 (incluye accesorios)</v>
      </c>
      <c r="C47" s="455" t="str">
        <f t="shared" ref="C47" si="13">IFERROR(VLOOKUP(A47,Tabla_Datos,3,FALSE),0)</f>
        <v>ml</v>
      </c>
      <c r="D47" s="485">
        <v>320</v>
      </c>
      <c r="E47" s="487">
        <f t="shared" ref="E47" si="14">IFERROR(VLOOKUP(A47,Tabla_Comp_Presup,7,FALSE),0)</f>
        <v>0</v>
      </c>
      <c r="F47" s="487">
        <f t="shared" ref="F47" si="15">ROUND(D47*E47,15)</f>
        <v>0</v>
      </c>
    </row>
    <row r="48" spans="1:6" ht="23.1" customHeight="1" x14ac:dyDescent="0.25">
      <c r="A48" s="513">
        <v>24</v>
      </c>
      <c r="B48" s="454" t="str">
        <f t="shared" ref="B48" si="16">IFERROR(VLOOKUP(A48,Tabla_Datos,2,FALSE),0)</f>
        <v>Elaboración de Proyecto Ejecutivo</v>
      </c>
      <c r="C48" s="455" t="str">
        <f t="shared" ref="C48" si="17">IFERROR(VLOOKUP(A48,Tabla_Datos,3,FALSE),0)</f>
        <v>gl</v>
      </c>
      <c r="D48" s="485">
        <v>1</v>
      </c>
      <c r="E48" s="487">
        <f t="shared" ref="E48" si="18">IFERROR(VLOOKUP(A48,Tabla_Comp_Presup,7,FALSE),0)</f>
        <v>0</v>
      </c>
      <c r="F48" s="487">
        <f t="shared" ref="F48" si="19">ROUND(D48*E48,15)</f>
        <v>0</v>
      </c>
    </row>
    <row r="49" spans="1:6" ht="23.1" customHeight="1" x14ac:dyDescent="0.25">
      <c r="A49" s="193"/>
      <c r="B49" s="194"/>
      <c r="C49" s="195"/>
      <c r="D49" s="196"/>
      <c r="E49" s="197"/>
      <c r="F49" s="197"/>
    </row>
    <row r="50" spans="1:6" ht="23.1" customHeight="1" x14ac:dyDescent="0.25">
      <c r="A50" s="459" t="s">
        <v>1106</v>
      </c>
      <c r="B50" s="460" t="s">
        <v>1162</v>
      </c>
      <c r="C50" s="461"/>
      <c r="D50" s="462"/>
      <c r="E50" s="463"/>
      <c r="F50" s="464">
        <f>ROUND(F59/Coef_Paso_Vivienda,2)</f>
        <v>0</v>
      </c>
    </row>
    <row r="51" spans="1:6" ht="23.1" customHeight="1" x14ac:dyDescent="0.25">
      <c r="A51" s="465" t="s">
        <v>1107</v>
      </c>
      <c r="B51" s="466" t="str">
        <f>"COSTO FINANCIERO  "&amp;ROUND(Costo_Financiero*100,2)&amp;" % de ( 1 )"</f>
        <v>COSTO FINANCIERO  0 % de ( 1 )</v>
      </c>
      <c r="C51" s="467">
        <f>Costo_Financiero</f>
        <v>0</v>
      </c>
      <c r="D51" s="468"/>
      <c r="E51" s="469">
        <f>Costo_Financiero</f>
        <v>0</v>
      </c>
      <c r="F51" s="470">
        <f>ROUND(F50*Costo_Financiero,2)</f>
        <v>0</v>
      </c>
    </row>
    <row r="52" spans="1:6" ht="23.1" customHeight="1" x14ac:dyDescent="0.25">
      <c r="A52" s="465" t="s">
        <v>1108</v>
      </c>
      <c r="B52" s="466" t="s">
        <v>1158</v>
      </c>
      <c r="C52" s="467"/>
      <c r="D52" s="468"/>
      <c r="E52" s="471"/>
      <c r="F52" s="470">
        <f>F50+F51</f>
        <v>0</v>
      </c>
    </row>
    <row r="53" spans="1:6" ht="23.1" customHeight="1" x14ac:dyDescent="0.25">
      <c r="A53" s="465" t="s">
        <v>1109</v>
      </c>
      <c r="B53" s="472" t="str">
        <f>CONCATENATE("GASTOS GENERALES  ",ROUND(Gastos_Generales*100,3)," % de ( 3 )")</f>
        <v>GASTOS GENERALES  10 % de ( 3 )</v>
      </c>
      <c r="C53" s="469">
        <f>Gastos_Generales</f>
        <v>0.1</v>
      </c>
      <c r="D53" s="473"/>
      <c r="E53" s="471"/>
      <c r="F53" s="470">
        <f>ROUND(F52*Gastos_Generales,2)</f>
        <v>0</v>
      </c>
    </row>
    <row r="54" spans="1:6" ht="23.1" customHeight="1" x14ac:dyDescent="0.25">
      <c r="A54" s="465" t="s">
        <v>1110</v>
      </c>
      <c r="B54" s="472" t="str">
        <f>CONCATENATE("BENEFICIOS  ",ROUND(Beneficio*100,2)," % de ( 3 )")</f>
        <v>BENEFICIOS  10 % de ( 3 )</v>
      </c>
      <c r="C54" s="469">
        <f>Beneficio</f>
        <v>0.1</v>
      </c>
      <c r="D54" s="473"/>
      <c r="E54" s="471"/>
      <c r="F54" s="470">
        <f>ROUND(F52*Beneficio,2)</f>
        <v>0</v>
      </c>
    </row>
    <row r="55" spans="1:6" ht="23.1" customHeight="1" x14ac:dyDescent="0.25">
      <c r="A55" s="465">
        <v>6</v>
      </c>
      <c r="B55" s="466" t="s">
        <v>1159</v>
      </c>
      <c r="C55" s="471"/>
      <c r="D55" s="473"/>
      <c r="E55" s="471"/>
      <c r="F55" s="470">
        <f>F52+F53+F54</f>
        <v>0</v>
      </c>
    </row>
    <row r="56" spans="1:6" ht="23.1" customHeight="1" x14ac:dyDescent="0.25">
      <c r="A56" s="465" t="s">
        <v>1160</v>
      </c>
      <c r="B56" s="472" t="str">
        <f>CONCATENATE("INGRESOS BRUTOS Y LOTE HOGAR  ",ROUND(Ingresos_Brutos*100,2)," % de ( 6 )")</f>
        <v>INGRESOS BRUTOS Y LOTE HOGAR  2,4 % de ( 6 )</v>
      </c>
      <c r="C56" s="469">
        <f>Ingresos_Brutos</f>
        <v>2.4E-2</v>
      </c>
      <c r="D56" s="473"/>
      <c r="E56" s="471"/>
      <c r="F56" s="470">
        <f>IF(Ingresos_Brutos=0,,ROUND(Ingresos_Brutos*F55,2))</f>
        <v>0</v>
      </c>
    </row>
    <row r="57" spans="1:6" ht="23.1" customHeight="1" x14ac:dyDescent="0.25">
      <c r="A57" s="474" t="s">
        <v>1161</v>
      </c>
      <c r="B57" s="475" t="str">
        <f>CONCATENATE("IMPUESTO AL VALOR AGREGADO ",IVA_Vivienda*100," % de ( 6 )")</f>
        <v>IMPUESTO AL VALOR AGREGADO 0,000000000001 % de ( 6 )</v>
      </c>
      <c r="C57" s="476">
        <f>IVA_Vivienda</f>
        <v>1E-14</v>
      </c>
      <c r="D57" s="477"/>
      <c r="E57" s="478"/>
      <c r="F57" s="479">
        <f>IF(IVA_Vivienda=0,,ROUND(IVA_Vivienda*F55,2))</f>
        <v>0</v>
      </c>
    </row>
    <row r="58" spans="1:6" ht="23.1" customHeight="1" x14ac:dyDescent="0.25">
      <c r="A58" s="88"/>
      <c r="B58" s="83"/>
      <c r="C58" s="83"/>
      <c r="D58" s="84"/>
      <c r="E58" s="85"/>
      <c r="F58" s="2"/>
    </row>
    <row r="59" spans="1:6" ht="23.1" customHeight="1" x14ac:dyDescent="0.25">
      <c r="A59" s="480"/>
      <c r="B59" s="481" t="str">
        <f>"PRECIO TOTAL ESPACIO COMUN"</f>
        <v>PRECIO TOTAL ESPACIO COMUN</v>
      </c>
      <c r="C59" s="481"/>
      <c r="D59" s="482"/>
      <c r="E59" s="480"/>
      <c r="F59" s="483">
        <f>SUM(F11:F48)</f>
        <v>0</v>
      </c>
    </row>
    <row r="60" spans="1:6" ht="23.1" customHeight="1" x14ac:dyDescent="0.25"/>
    <row r="61" spans="1:6" ht="23.1" customHeight="1" x14ac:dyDescent="0.25"/>
  </sheetData>
  <mergeCells count="7">
    <mergeCell ref="A1:F1"/>
    <mergeCell ref="A7:A8"/>
    <mergeCell ref="B7:B8"/>
    <mergeCell ref="C7:C8"/>
    <mergeCell ref="D7:D8"/>
    <mergeCell ref="E7:E8"/>
    <mergeCell ref="F7:F8"/>
  </mergeCells>
  <phoneticPr fontId="10" type="noConversion"/>
  <conditionalFormatting sqref="B10:B24 A11:A24 A25:B49">
    <cfRule type="expression" dxfId="116" priority="3" stopIfTrue="1">
      <formula>$C10=0</formula>
    </cfRule>
  </conditionalFormatting>
  <conditionalFormatting sqref="A10">
    <cfRule type="expression" dxfId="115" priority="2" stopIfTrue="1">
      <formula>$C10=0</formula>
    </cfRule>
  </conditionalFormatting>
  <conditionalFormatting sqref="F50">
    <cfRule type="expression" dxfId="114" priority="1" stopIfTrue="1">
      <formula>#REF!=1</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Q197"/>
  <sheetViews>
    <sheetView topLeftCell="A169" zoomScaleNormal="100" workbookViewId="0">
      <selection activeCell="G194" sqref="G194"/>
    </sheetView>
  </sheetViews>
  <sheetFormatPr baseColWidth="10" defaultColWidth="11.44140625" defaultRowHeight="13.2" x14ac:dyDescent="0.25"/>
  <cols>
    <col min="1" max="1" width="7.44140625" style="2" customWidth="1"/>
    <col min="2" max="2" width="30.6640625" style="2" customWidth="1"/>
    <col min="3" max="3" width="63.109375" style="2" customWidth="1"/>
    <col min="4" max="4" width="6.6640625" style="2" customWidth="1"/>
    <col min="5" max="5" width="14.6640625" style="2" customWidth="1"/>
    <col min="6" max="6" width="23.6640625" style="2" customWidth="1"/>
    <col min="7" max="7" width="30.109375" style="2" customWidth="1"/>
    <col min="8" max="8" width="29.44140625" style="2" customWidth="1"/>
    <col min="9" max="9" width="17.33203125" style="2" customWidth="1"/>
    <col min="10" max="10" width="11.6640625" style="2" customWidth="1"/>
    <col min="11" max="11" width="23.33203125" style="2" customWidth="1"/>
    <col min="12" max="12" width="15" style="2" customWidth="1"/>
    <col min="13" max="13" width="18.44140625" style="2" bestFit="1" customWidth="1"/>
    <col min="14" max="16384" width="11.44140625" style="2"/>
  </cols>
  <sheetData>
    <row r="1" spans="1:17" s="86" customFormat="1" ht="20.100000000000001" customHeight="1" x14ac:dyDescent="0.25">
      <c r="A1" s="86" t="s">
        <v>7</v>
      </c>
      <c r="C1" s="86" t="str">
        <f>Comitente</f>
        <v>INSTITUTO PROVINCIAL DE LA VIVIENDA</v>
      </c>
      <c r="Q1" s="209"/>
    </row>
    <row r="2" spans="1:17" s="206" customFormat="1" ht="20.100000000000001" customHeight="1" x14ac:dyDescent="0.25">
      <c r="A2" s="206" t="s">
        <v>8</v>
      </c>
      <c r="C2" s="338" t="str">
        <f>Obra</f>
        <v>LA NAVE - 103 DEPARTAMENTOS - CAPITAL</v>
      </c>
      <c r="Q2" s="210"/>
    </row>
    <row r="3" spans="1:17" s="206" customFormat="1" ht="20.100000000000001" customHeight="1" x14ac:dyDescent="0.25">
      <c r="A3" s="206" t="s">
        <v>12</v>
      </c>
      <c r="C3" s="338" t="str">
        <f>Ubicación</f>
        <v>CAPITAL</v>
      </c>
      <c r="Q3" s="210"/>
    </row>
    <row r="4" spans="1:17" s="206" customFormat="1" ht="20.100000000000001" customHeight="1" x14ac:dyDescent="0.25">
      <c r="A4" s="206" t="s">
        <v>11</v>
      </c>
      <c r="C4" s="339" t="str">
        <f>Número_Licitación</f>
        <v>LICITACION PUBLICA IPV N° 01/2023</v>
      </c>
      <c r="Q4" s="210"/>
    </row>
    <row r="5" spans="1:17" s="206" customFormat="1" ht="20.100000000000001" customHeight="1" x14ac:dyDescent="0.25">
      <c r="A5" s="206" t="s">
        <v>32</v>
      </c>
      <c r="C5" s="361" t="str">
        <f>Número_Expediente</f>
        <v>501-004285-2022</v>
      </c>
      <c r="Q5" s="210"/>
    </row>
    <row r="6" spans="1:17" s="206" customFormat="1" ht="20.100000000000001" customHeight="1" x14ac:dyDescent="0.25">
      <c r="A6" s="206" t="s">
        <v>14</v>
      </c>
      <c r="C6" s="347">
        <f>Presupuesto_Oficial</f>
        <v>2336511667.999999</v>
      </c>
      <c r="D6" s="211"/>
      <c r="Q6" s="210"/>
    </row>
    <row r="7" spans="1:17" s="206" customFormat="1" ht="20.100000000000001" customHeight="1" x14ac:dyDescent="0.25">
      <c r="A7" s="206" t="s">
        <v>1104</v>
      </c>
      <c r="C7" s="345">
        <f>Anticipo_Financiero</f>
        <v>0</v>
      </c>
      <c r="E7" s="493"/>
      <c r="Q7" s="210"/>
    </row>
    <row r="8" spans="1:17" s="206" customFormat="1" ht="20.100000000000001" customHeight="1" x14ac:dyDescent="0.25">
      <c r="A8" s="206" t="s">
        <v>1102</v>
      </c>
      <c r="C8" s="359" t="str">
        <f>Fecha_Apertura</f>
        <v>xxxxxxx</v>
      </c>
      <c r="Q8" s="210"/>
    </row>
    <row r="9" spans="1:17" s="206" customFormat="1" ht="20.100000000000001" customHeight="1" x14ac:dyDescent="0.25">
      <c r="A9" s="206" t="s">
        <v>13</v>
      </c>
      <c r="C9" s="340">
        <f>Plazo_Obra</f>
        <v>540</v>
      </c>
      <c r="Q9" s="210"/>
    </row>
    <row r="10" spans="1:17" s="86" customFormat="1" ht="20.100000000000001" customHeight="1" x14ac:dyDescent="0.25">
      <c r="A10" s="86" t="s">
        <v>9</v>
      </c>
      <c r="C10" s="346" t="str">
        <f>Contratista</f>
        <v>xxxxxxxxx</v>
      </c>
      <c r="Q10" s="209"/>
    </row>
    <row r="11" spans="1:17" s="206" customFormat="1" ht="20.100000000000001" customHeight="1" x14ac:dyDescent="0.25">
      <c r="A11" s="206" t="s">
        <v>42</v>
      </c>
      <c r="C11" s="342"/>
      <c r="H11" s="596"/>
      <c r="J11" s="436"/>
    </row>
    <row r="12" spans="1:17" s="86" customFormat="1" ht="20.100000000000001" customHeight="1" x14ac:dyDescent="0.25">
      <c r="A12" s="86" t="s">
        <v>1135</v>
      </c>
      <c r="C12" s="344">
        <f>Monto_Terreno</f>
        <v>0</v>
      </c>
      <c r="H12" s="596"/>
      <c r="J12" s="436"/>
    </row>
    <row r="13" spans="1:17" ht="20.100000000000001" customHeight="1" x14ac:dyDescent="0.25">
      <c r="A13" s="102"/>
      <c r="C13" s="103"/>
      <c r="H13" s="431"/>
      <c r="J13" s="436"/>
    </row>
    <row r="14" spans="1:17" ht="20.100000000000001" customHeight="1" x14ac:dyDescent="0.25">
      <c r="A14" s="593" t="s">
        <v>41</v>
      </c>
      <c r="B14" s="594"/>
      <c r="C14" s="594"/>
      <c r="D14" s="594"/>
      <c r="E14" s="594"/>
      <c r="F14" s="594"/>
      <c r="G14" s="594"/>
      <c r="H14" s="594"/>
      <c r="I14" s="595"/>
      <c r="J14" s="436"/>
    </row>
    <row r="15" spans="1:17" ht="20.100000000000001" customHeight="1" x14ac:dyDescent="0.25">
      <c r="I15" s="426"/>
      <c r="J15" s="436"/>
    </row>
    <row r="16" spans="1:17" ht="20.100000000000001" customHeight="1" x14ac:dyDescent="0.25">
      <c r="A16" s="87" t="str">
        <f>"PROTOTIPO 1 - TIPO "&amp;Tipo_P1</f>
        <v>PROTOTIPO 1 - TIPO LAN 1</v>
      </c>
      <c r="B16" s="97"/>
      <c r="C16" s="86" t="s">
        <v>1271</v>
      </c>
      <c r="D16" s="598">
        <f>Cant_Viv_P1</f>
        <v>5</v>
      </c>
      <c r="E16" s="598"/>
      <c r="F16" s="97"/>
      <c r="G16" s="360" t="str">
        <f>"PRECIO UNIT. "&amp;A16</f>
        <v>PRECIO UNIT. PROTOTIPO 1 - TIPO LAN 1</v>
      </c>
      <c r="H16" s="219">
        <f>Precio_P1</f>
        <v>0</v>
      </c>
      <c r="I16" s="435" t="s">
        <v>1259</v>
      </c>
      <c r="J16" s="436"/>
      <c r="K16" s="82"/>
      <c r="M16" s="510"/>
    </row>
    <row r="17" spans="1:13" ht="20.100000000000001" customHeight="1" x14ac:dyDescent="0.25">
      <c r="A17" s="87" t="str">
        <f>IF(Tipo_P2="","","PROTOTIPO 2 - TIPO "&amp;Tipo_P2)</f>
        <v>PROTOTIPO 2 - TIPO LAN 2</v>
      </c>
      <c r="B17" s="97"/>
      <c r="C17" s="86" t="s">
        <v>1271</v>
      </c>
      <c r="D17" s="598">
        <f>Cant_Viv_P2</f>
        <v>30</v>
      </c>
      <c r="E17" s="598"/>
      <c r="F17" s="97"/>
      <c r="G17" s="360" t="str">
        <f>IF(Tipo_P2="","","PRECIO UNIT. "&amp;A17)</f>
        <v>PRECIO UNIT. PROTOTIPO 2 - TIPO LAN 2</v>
      </c>
      <c r="H17" s="219">
        <f>Precio_P2</f>
        <v>0</v>
      </c>
      <c r="I17" s="435" t="s">
        <v>1260</v>
      </c>
      <c r="J17" s="436"/>
      <c r="K17" s="82"/>
    </row>
    <row r="18" spans="1:13" ht="20.100000000000001" customHeight="1" x14ac:dyDescent="0.25">
      <c r="A18" s="87" t="str">
        <f>IF(Tipo_P3="","","PROTOTIPO 3 - TIPO "&amp;Tipo_P3)</f>
        <v>PROTOTIPO 3 - TIPO LAN 3</v>
      </c>
      <c r="B18" s="97"/>
      <c r="C18" s="86" t="s">
        <v>1271</v>
      </c>
      <c r="D18" s="598">
        <f>Cant_Viv_P3</f>
        <v>5</v>
      </c>
      <c r="E18" s="598"/>
      <c r="F18" s="86"/>
      <c r="G18" s="360" t="str">
        <f t="shared" ref="G18:G21" si="0">IF(Tipo_P3="","","PRECIO UNIT. "&amp;A18)</f>
        <v>PRECIO UNIT. PROTOTIPO 3 - TIPO LAN 3</v>
      </c>
      <c r="H18" s="219">
        <f>Precio_P3</f>
        <v>0</v>
      </c>
      <c r="I18" s="435" t="s">
        <v>1260</v>
      </c>
      <c r="K18" s="82"/>
    </row>
    <row r="19" spans="1:13" ht="20.100000000000001" customHeight="1" x14ac:dyDescent="0.25">
      <c r="A19" s="87" t="str">
        <f>IF(Tipo_P4="","","PROTOTIPO 4 - TIPO "&amp;Tipo_P4)</f>
        <v>PROTOTIPO 4 - TIPO LAN 4</v>
      </c>
      <c r="B19" s="97"/>
      <c r="C19" s="86" t="s">
        <v>1271</v>
      </c>
      <c r="D19" s="598">
        <f>Cant_Viv_P4</f>
        <v>4</v>
      </c>
      <c r="E19" s="598"/>
      <c r="F19" s="86"/>
      <c r="G19" s="360" t="str">
        <f>IF(Tipo_P4="","","PRECIO UNIT. "&amp;A19)</f>
        <v>PRECIO UNIT. PROTOTIPO 4 - TIPO LAN 4</v>
      </c>
      <c r="H19" s="219">
        <f>PRECIO_P4</f>
        <v>0</v>
      </c>
      <c r="I19" s="435" t="s">
        <v>1260</v>
      </c>
      <c r="K19" s="82"/>
    </row>
    <row r="20" spans="1:13" ht="20.100000000000001" customHeight="1" x14ac:dyDescent="0.25">
      <c r="A20" s="87" t="str">
        <f>IF(Tipo_P5="","","PROTOTIPO 5 - TIPO "&amp;Tipo_P5)</f>
        <v>PROTOTIPO 5 - TIPO LAN 5</v>
      </c>
      <c r="B20" s="97"/>
      <c r="C20" s="86" t="s">
        <v>1271</v>
      </c>
      <c r="D20" s="598">
        <f>Cant_Viv_P5</f>
        <v>5</v>
      </c>
      <c r="E20" s="598"/>
      <c r="F20" s="86"/>
      <c r="G20" s="360" t="str">
        <f>IF(Tipo_P5="","","PRECIO UNIT. "&amp;A20)</f>
        <v>PRECIO UNIT. PROTOTIPO 5 - TIPO LAN 5</v>
      </c>
      <c r="H20" s="219">
        <f>PRECIO_P5</f>
        <v>0</v>
      </c>
      <c r="I20" s="435" t="s">
        <v>1260</v>
      </c>
      <c r="K20" s="82"/>
    </row>
    <row r="21" spans="1:13" ht="20.100000000000001" customHeight="1" x14ac:dyDescent="0.25">
      <c r="A21" s="87" t="str">
        <f>IF(Tipo_P6="","","PROTOTIPO 6 - TIPO "&amp;Tipo_P6)</f>
        <v>PROTOTIPO 6 - TIPO LAN 6</v>
      </c>
      <c r="B21" s="97"/>
      <c r="C21" s="86" t="s">
        <v>1271</v>
      </c>
      <c r="D21" s="598">
        <f>Cant_Viv_P6</f>
        <v>54</v>
      </c>
      <c r="E21" s="598"/>
      <c r="F21" s="86"/>
      <c r="G21" s="360" t="str">
        <f t="shared" si="0"/>
        <v>PRECIO UNIT. PROTOTIPO 6 - TIPO LAN 6</v>
      </c>
      <c r="H21" s="219">
        <f>PRECIO_P6</f>
        <v>0</v>
      </c>
      <c r="I21" s="435" t="s">
        <v>1260</v>
      </c>
      <c r="K21" s="82"/>
      <c r="M21" s="577"/>
    </row>
    <row r="22" spans="1:13" ht="20.100000000000001" customHeight="1" x14ac:dyDescent="0.25">
      <c r="A22" s="87" t="str">
        <f>IF(ESPACIO_COMUN="","","PROTOTIPO 7 - TIPO "&amp; ESPACIO_COMUN)</f>
        <v>PROTOTIPO 7 - TIPO ESPACIOS COMUNES TORRE</v>
      </c>
      <c r="B22" s="97"/>
      <c r="C22" s="86"/>
      <c r="D22" s="599">
        <f>EspacioComun</f>
        <v>1</v>
      </c>
      <c r="E22" s="599"/>
      <c r="F22" s="541"/>
      <c r="G22" s="360" t="str">
        <f>IF(ESPACIO_COMUN_ALAS="","","PRECIO UNIT. "&amp;A22)</f>
        <v>PRECIO UNIT. PROTOTIPO 7 - TIPO ESPACIOS COMUNES TORRE</v>
      </c>
      <c r="H22" s="219">
        <f>'Espacios Comunes Torre'!F58</f>
        <v>0</v>
      </c>
      <c r="I22" s="86"/>
    </row>
    <row r="23" spans="1:13" ht="20.100000000000001" customHeight="1" x14ac:dyDescent="0.25">
      <c r="A23" s="87" t="str">
        <f>IF(ESPACIO_COMUN_ALAS="","","PROTOTIPO 8 - TIPO "&amp; ESPACIO_COMUN_ALAS)</f>
        <v>PROTOTIPO 8 - TIPO ESPACIOS COMUNES BLOQUES SUR Y OESTE</v>
      </c>
      <c r="B23" s="97"/>
      <c r="C23" s="86"/>
      <c r="D23" s="599">
        <f>EspacioComun_Alas</f>
        <v>1</v>
      </c>
      <c r="E23" s="599"/>
      <c r="F23" s="86"/>
      <c r="G23" s="360" t="str">
        <f>IF(ESPACIO_COMUN="","","PRECIO UNIT. "&amp;A23)</f>
        <v>PRECIO UNIT. PROTOTIPO 8 - TIPO ESPACIOS COMUNES BLOQUES SUR Y OESTE</v>
      </c>
      <c r="H23" s="219">
        <f>+'Espacios Comunes bloque S - O'!F59</f>
        <v>0</v>
      </c>
      <c r="I23" s="86"/>
    </row>
    <row r="24" spans="1:13" ht="20.100000000000001" customHeight="1" x14ac:dyDescent="0.25">
      <c r="A24" s="384"/>
      <c r="B24" s="97"/>
      <c r="C24" s="86"/>
      <c r="D24" s="131"/>
      <c r="E24" s="131"/>
      <c r="F24" s="86"/>
      <c r="G24" s="360"/>
      <c r="H24" s="219"/>
      <c r="I24" s="86"/>
    </row>
    <row r="25" spans="1:13" ht="20.100000000000001" customHeight="1" x14ac:dyDescent="0.25">
      <c r="A25" s="514"/>
      <c r="B25" s="385"/>
      <c r="C25" s="385"/>
      <c r="D25" s="386"/>
      <c r="E25" s="386"/>
      <c r="F25" s="383"/>
      <c r="G25" s="383"/>
      <c r="H25" s="385"/>
      <c r="I25" s="77"/>
    </row>
    <row r="26" spans="1:13" ht="39.6" x14ac:dyDescent="0.25">
      <c r="A26" s="190" t="s">
        <v>1105</v>
      </c>
      <c r="B26" s="597" t="s">
        <v>0</v>
      </c>
      <c r="C26" s="597"/>
      <c r="D26" s="190" t="s">
        <v>1</v>
      </c>
      <c r="E26" s="190" t="s">
        <v>2</v>
      </c>
      <c r="F26" s="190" t="s">
        <v>1147</v>
      </c>
      <c r="G26" s="190" t="s">
        <v>1148</v>
      </c>
      <c r="H26" s="190" t="s">
        <v>1118</v>
      </c>
      <c r="I26" s="190" t="s">
        <v>10</v>
      </c>
    </row>
    <row r="27" spans="1:13" ht="19.5" customHeight="1" x14ac:dyDescent="0.25">
      <c r="A27" s="574"/>
      <c r="B27" s="572"/>
      <c r="C27" s="573"/>
      <c r="D27" s="190"/>
      <c r="E27" s="574"/>
      <c r="F27" s="190"/>
      <c r="G27" s="190"/>
      <c r="H27" s="190"/>
      <c r="I27" s="190"/>
    </row>
    <row r="28" spans="1:13" ht="20.100000000000001" customHeight="1" x14ac:dyDescent="0.25">
      <c r="A28" s="552" t="str">
        <f>Datos!B35</f>
        <v>A</v>
      </c>
      <c r="B28" s="553" t="str">
        <f>IFERROR(VLOOKUP(A28,Tabla_Datos,2,FALSE),0)</f>
        <v>DEPARTAMENTOS</v>
      </c>
      <c r="C28" s="554"/>
      <c r="D28" s="555"/>
      <c r="E28" s="556"/>
      <c r="F28" s="557"/>
      <c r="G28" s="557"/>
      <c r="H28" s="557"/>
      <c r="I28" s="558"/>
    </row>
    <row r="29" spans="1:13" ht="20.100000000000001" customHeight="1" x14ac:dyDescent="0.25">
      <c r="A29" s="559">
        <f>Datos!B36</f>
        <v>1</v>
      </c>
      <c r="B29" s="560" t="str">
        <f t="shared" ref="B29:B58" si="1">IFERROR(VLOOKUP(A29,Tabla_Datos,2,FALSE),0)</f>
        <v xml:space="preserve">TRABAJOS PRELIMINARES </v>
      </c>
      <c r="C29" s="561"/>
      <c r="D29" s="562"/>
      <c r="E29" s="563"/>
      <c r="F29" s="564"/>
      <c r="G29" s="564"/>
      <c r="H29" s="564"/>
      <c r="I29" s="565"/>
      <c r="J29" s="511"/>
      <c r="K29" s="511"/>
    </row>
    <row r="30" spans="1:13" ht="20.100000000000001" customHeight="1" x14ac:dyDescent="0.25">
      <c r="A30" s="186" t="str">
        <f>Datos!B37</f>
        <v>1.1</v>
      </c>
      <c r="B30" s="74" t="str">
        <f t="shared" si="1"/>
        <v>Limpieza general, incluye desmalezamiento, demolición de construcciones existentes</v>
      </c>
      <c r="C30" s="78"/>
      <c r="D30" s="79" t="str">
        <f t="shared" ref="D30:D57" si="2">IFERROR(VLOOKUP(A30,Tabla_Datos,3,FALSE),0)</f>
        <v>m2</v>
      </c>
      <c r="E30" s="80">
        <f t="shared" ref="E30:E71" si="3">ROUND(IFERROR(VLOOKUP(A30,Tabla_P1,4,FALSE)*Cant_Viv_P1,0)+IFERROR(VLOOKUP(A30,Tabla_P2,4,FALSE)*Cant_Viv_P2,0)+IFERROR(VLOOKUP(A30,Tabla_P3,4,FALSE)*Cant_Viv_P3,0)+IFERROR(VLOOKUP(A30,Tabla_P4,4,FALSE)*Cant_Viv_P4,0)+IFERROR(VLOOKUP(A30,Tabla_P5,4,FALSE)*Cant_Viv_P5,0)+IFERROR(VLOOKUP(A30,Tabla_P6,4,FALSE)*Cant_Viv_P6,0)+IFERROR(VLOOKUP(A30,Tabla_P7,4,FALSE)*Cant_Viv_P7,0)++IFERROR(VLOOKUP(A30,Tabla_EC,4,FALSE)*EspacioComun,0),5)</f>
        <v>8805.1</v>
      </c>
      <c r="F30" s="81">
        <f>IFERROR(VLOOKUP(A30,Tabla_AP,7,FALSE),0)</f>
        <v>0</v>
      </c>
      <c r="G30" s="81">
        <f t="shared" ref="G30:G71" si="4">ROUND(PrecioUnitario(F30,Costo_Financiero,Gastos_Generales,Beneficio,Ingresos_Brutos,IVA_Vivienda),2)</f>
        <v>0</v>
      </c>
      <c r="H30" s="81">
        <f t="shared" ref="H30:H71" si="5">ROUND(E30*G30,2)</f>
        <v>0</v>
      </c>
      <c r="I30" s="4">
        <f t="shared" ref="I30:I57" si="6">IFERROR(H30/Monto_Oferta,0)</f>
        <v>0</v>
      </c>
      <c r="J30" s="511"/>
      <c r="K30" s="511"/>
      <c r="L30" s="82"/>
    </row>
    <row r="31" spans="1:13" ht="20.100000000000001" customHeight="1" x14ac:dyDescent="0.25">
      <c r="A31" s="559">
        <f>Datos!B38</f>
        <v>2</v>
      </c>
      <c r="B31" s="560" t="str">
        <f t="shared" si="1"/>
        <v>MOVIMIENTO DE SUELOS</v>
      </c>
      <c r="C31" s="561"/>
      <c r="D31" s="562"/>
      <c r="E31" s="563"/>
      <c r="F31" s="564"/>
      <c r="G31" s="564"/>
      <c r="H31" s="564"/>
      <c r="I31" s="565"/>
      <c r="J31" s="511"/>
      <c r="L31" s="82"/>
    </row>
    <row r="32" spans="1:13" ht="20.100000000000001" customHeight="1" x14ac:dyDescent="0.25">
      <c r="A32" s="186" t="str">
        <f>Datos!B39</f>
        <v>2.1</v>
      </c>
      <c r="B32" s="74" t="str">
        <f t="shared" si="1"/>
        <v>Excavación para fundaciones</v>
      </c>
      <c r="C32" s="78"/>
      <c r="D32" s="79" t="str">
        <f t="shared" si="2"/>
        <v>m3</v>
      </c>
      <c r="E32" s="80">
        <f t="shared" si="3"/>
        <v>1517.93</v>
      </c>
      <c r="F32" s="81">
        <f t="shared" ref="F32:F57" si="7">IFERROR(VLOOKUP(A32,Tabla_AP,7,FALSE),0)</f>
        <v>0</v>
      </c>
      <c r="G32" s="81">
        <f t="shared" si="4"/>
        <v>0</v>
      </c>
      <c r="H32" s="81">
        <f t="shared" si="5"/>
        <v>0</v>
      </c>
      <c r="I32" s="4">
        <f t="shared" si="6"/>
        <v>0</v>
      </c>
      <c r="J32" s="511"/>
      <c r="K32" s="511"/>
      <c r="L32" s="82"/>
    </row>
    <row r="33" spans="1:12" ht="20.100000000000001" customHeight="1" x14ac:dyDescent="0.25">
      <c r="A33" s="186" t="str">
        <f>Datos!B40</f>
        <v>2.2</v>
      </c>
      <c r="B33" s="74" t="str">
        <f t="shared" si="1"/>
        <v>Excavacion de Subsuelo</v>
      </c>
      <c r="C33" s="78"/>
      <c r="D33" s="79" t="str">
        <f t="shared" si="2"/>
        <v>m3</v>
      </c>
      <c r="E33" s="80">
        <f t="shared" si="3"/>
        <v>7548.26</v>
      </c>
      <c r="F33" s="81">
        <f t="shared" si="7"/>
        <v>0</v>
      </c>
      <c r="G33" s="81">
        <f t="shared" si="4"/>
        <v>0</v>
      </c>
      <c r="H33" s="81">
        <f t="shared" si="5"/>
        <v>0</v>
      </c>
      <c r="I33" s="4">
        <f t="shared" si="6"/>
        <v>0</v>
      </c>
      <c r="J33" s="511"/>
      <c r="K33" s="511"/>
      <c r="L33" s="82"/>
    </row>
    <row r="34" spans="1:12" ht="20.100000000000001" customHeight="1" x14ac:dyDescent="0.25">
      <c r="A34" s="559">
        <f>Datos!B41</f>
        <v>3</v>
      </c>
      <c r="B34" s="560" t="str">
        <f t="shared" si="1"/>
        <v>FUNDACIONES</v>
      </c>
      <c r="C34" s="561"/>
      <c r="D34" s="562"/>
      <c r="E34" s="563"/>
      <c r="F34" s="564"/>
      <c r="G34" s="564"/>
      <c r="H34" s="564"/>
      <c r="I34" s="565"/>
      <c r="J34" s="511"/>
      <c r="K34" s="511"/>
      <c r="L34" s="82"/>
    </row>
    <row r="35" spans="1:12" ht="20.100000000000001" customHeight="1" x14ac:dyDescent="0.25">
      <c r="A35" s="186" t="str">
        <f>Datos!B42</f>
        <v>3.1</v>
      </c>
      <c r="B35" s="74" t="str">
        <f t="shared" si="1"/>
        <v>Hº - Bases aisladas y vigas de arriostramiento</v>
      </c>
      <c r="C35" s="78"/>
      <c r="D35" s="79" t="str">
        <f t="shared" si="2"/>
        <v>m3</v>
      </c>
      <c r="E35" s="80">
        <f t="shared" si="3"/>
        <v>1529.27</v>
      </c>
      <c r="F35" s="81">
        <f t="shared" si="7"/>
        <v>0</v>
      </c>
      <c r="G35" s="81">
        <f>ROUND(PrecioUnitario(F35,Costo_Financiero,Gastos_Generales,Beneficio,Ingresos_Brutos,IVA_Vivienda),2)</f>
        <v>0</v>
      </c>
      <c r="H35" s="81">
        <f t="shared" si="5"/>
        <v>0</v>
      </c>
      <c r="I35" s="4">
        <f t="shared" si="6"/>
        <v>0</v>
      </c>
      <c r="J35" s="511"/>
      <c r="K35" s="511"/>
      <c r="L35" s="82"/>
    </row>
    <row r="36" spans="1:12" ht="20.100000000000001" customHeight="1" x14ac:dyDescent="0.25">
      <c r="A36" s="186" t="str">
        <f>Datos!B43</f>
        <v>3.2</v>
      </c>
      <c r="B36" s="74" t="str">
        <f t="shared" si="1"/>
        <v>Aº - Bases aisladas y vigas de arriostramiento</v>
      </c>
      <c r="C36" s="78"/>
      <c r="D36" s="79" t="str">
        <f t="shared" si="2"/>
        <v>kg</v>
      </c>
      <c r="E36" s="80">
        <f t="shared" si="3"/>
        <v>57189.95</v>
      </c>
      <c r="F36" s="81">
        <f t="shared" si="7"/>
        <v>0</v>
      </c>
      <c r="G36" s="81">
        <f t="shared" si="4"/>
        <v>0</v>
      </c>
      <c r="H36" s="81">
        <f t="shared" si="5"/>
        <v>0</v>
      </c>
      <c r="I36" s="4">
        <f t="shared" si="6"/>
        <v>0</v>
      </c>
      <c r="J36" s="511"/>
      <c r="K36" s="511"/>
      <c r="L36" s="82"/>
    </row>
    <row r="37" spans="1:12" ht="20.100000000000001" customHeight="1" x14ac:dyDescent="0.25">
      <c r="A37" s="559">
        <f>Datos!B44</f>
        <v>4</v>
      </c>
      <c r="B37" s="560" t="str">
        <f t="shared" si="1"/>
        <v>ESTRUCTURA RESISTENTE</v>
      </c>
      <c r="C37" s="561"/>
      <c r="D37" s="562"/>
      <c r="E37" s="563"/>
      <c r="F37" s="564"/>
      <c r="G37" s="564"/>
      <c r="H37" s="564"/>
      <c r="I37" s="565"/>
      <c r="J37" s="511"/>
      <c r="L37" s="82"/>
    </row>
    <row r="38" spans="1:12" ht="20.100000000000001" customHeight="1" x14ac:dyDescent="0.25">
      <c r="A38" s="186" t="str">
        <f>Datos!B45</f>
        <v>4.1</v>
      </c>
      <c r="B38" s="74" t="str">
        <f t="shared" si="1"/>
        <v>Replanteo y niveles</v>
      </c>
      <c r="C38" s="78"/>
      <c r="D38" s="79" t="str">
        <f t="shared" si="2"/>
        <v>gl</v>
      </c>
      <c r="E38" s="80">
        <f t="shared" si="3"/>
        <v>2.972</v>
      </c>
      <c r="F38" s="81">
        <f t="shared" si="7"/>
        <v>0</v>
      </c>
      <c r="G38" s="81">
        <f t="shared" si="4"/>
        <v>0</v>
      </c>
      <c r="H38" s="81">
        <f t="shared" si="5"/>
        <v>0</v>
      </c>
      <c r="I38" s="4">
        <f t="shared" si="6"/>
        <v>0</v>
      </c>
      <c r="J38" s="511"/>
      <c r="K38" s="511"/>
      <c r="L38" s="82"/>
    </row>
    <row r="39" spans="1:12" ht="20.100000000000001" customHeight="1" x14ac:dyDescent="0.25">
      <c r="A39" s="186" t="str">
        <f>Datos!B46</f>
        <v>4.2</v>
      </c>
      <c r="B39" s="74" t="str">
        <f t="shared" si="1"/>
        <v>Hormigon para Losas H-21</v>
      </c>
      <c r="C39" s="78"/>
      <c r="D39" s="79" t="str">
        <f t="shared" si="2"/>
        <v>m3</v>
      </c>
      <c r="E39" s="80">
        <f t="shared" si="3"/>
        <v>1760.5</v>
      </c>
      <c r="F39" s="81">
        <f t="shared" si="7"/>
        <v>0</v>
      </c>
      <c r="G39" s="81">
        <f t="shared" si="4"/>
        <v>0</v>
      </c>
      <c r="H39" s="81">
        <f t="shared" si="5"/>
        <v>0</v>
      </c>
      <c r="I39" s="4">
        <f t="shared" si="6"/>
        <v>0</v>
      </c>
      <c r="J39" s="511"/>
      <c r="K39" s="511"/>
      <c r="L39" s="82"/>
    </row>
    <row r="40" spans="1:12" ht="20.100000000000001" customHeight="1" x14ac:dyDescent="0.25">
      <c r="A40" s="186" t="str">
        <f>Datos!B47</f>
        <v>4.3</v>
      </c>
      <c r="B40" s="74" t="str">
        <f t="shared" si="1"/>
        <v>Hormigon resistente H-30</v>
      </c>
      <c r="C40" s="78"/>
      <c r="D40" s="79" t="str">
        <f t="shared" si="2"/>
        <v>m3</v>
      </c>
      <c r="E40" s="80">
        <f t="shared" si="3"/>
        <v>3728.58</v>
      </c>
      <c r="F40" s="81">
        <f t="shared" si="7"/>
        <v>0</v>
      </c>
      <c r="G40" s="81">
        <f t="shared" si="4"/>
        <v>0</v>
      </c>
      <c r="H40" s="81">
        <f t="shared" si="5"/>
        <v>0</v>
      </c>
      <c r="I40" s="4">
        <f t="shared" si="6"/>
        <v>0</v>
      </c>
      <c r="J40" s="511"/>
      <c r="K40" s="511"/>
      <c r="L40" s="82"/>
    </row>
    <row r="41" spans="1:12" ht="20.100000000000001" customHeight="1" x14ac:dyDescent="0.25">
      <c r="A41" s="186" t="str">
        <f>Datos!B48</f>
        <v>4.4</v>
      </c>
      <c r="B41" s="74" t="str">
        <f t="shared" si="1"/>
        <v>Hormigon para encadenados H-17</v>
      </c>
      <c r="C41" s="78"/>
      <c r="D41" s="79" t="str">
        <f t="shared" si="2"/>
        <v>m3</v>
      </c>
      <c r="E41" s="80">
        <f t="shared" si="3"/>
        <v>83.46</v>
      </c>
      <c r="F41" s="81">
        <f t="shared" si="7"/>
        <v>0</v>
      </c>
      <c r="G41" s="81">
        <f t="shared" si="4"/>
        <v>0</v>
      </c>
      <c r="H41" s="81">
        <f t="shared" si="5"/>
        <v>0</v>
      </c>
      <c r="I41" s="4">
        <f t="shared" si="6"/>
        <v>0</v>
      </c>
      <c r="J41" s="511"/>
      <c r="K41" s="511"/>
      <c r="L41" s="82"/>
    </row>
    <row r="42" spans="1:12" ht="20.100000000000001" customHeight="1" x14ac:dyDescent="0.25">
      <c r="A42" s="186" t="str">
        <f>Datos!B49</f>
        <v>4.5</v>
      </c>
      <c r="B42" s="74" t="str">
        <f t="shared" ref="B42:B49" si="8">IFERROR(VLOOKUP(A42,Tabla_Datos,2,FALSE),0)</f>
        <v>Hormigon para escaleras exteriores</v>
      </c>
      <c r="C42" s="78"/>
      <c r="D42" s="79" t="str">
        <f t="shared" ref="D42:D49" si="9">IFERROR(VLOOKUP(A42,Tabla_Datos,3,FALSE),0)</f>
        <v>m3</v>
      </c>
      <c r="E42" s="80">
        <f t="shared" ref="E42:E49" si="10">ROUND(IFERROR(VLOOKUP(A42,Tabla_P1,4,FALSE)*Cant_Viv_P1,0)+IFERROR(VLOOKUP(A42,Tabla_P2,4,FALSE)*Cant_Viv_P2,0)+IFERROR(VLOOKUP(A42,Tabla_P3,4,FALSE)*Cant_Viv_P3,0)+IFERROR(VLOOKUP(A42,Tabla_P4,4,FALSE)*Cant_Viv_P4,0)+IFERROR(VLOOKUP(A42,Tabla_P5,4,FALSE)*Cant_Viv_P5,0)+IFERROR(VLOOKUP(A42,Tabla_P6,4,FALSE)*Cant_Viv_P6,0)+IFERROR(VLOOKUP(A42,Tabla_P7,4,FALSE)*Cant_Viv_P7,0)++IFERROR(VLOOKUP(A42,Tabla_EC,4,FALSE)*EspacioComun,0),5)</f>
        <v>36.01</v>
      </c>
      <c r="F42" s="81">
        <f t="shared" ref="F42:F49" si="11">IFERROR(VLOOKUP(A42,Tabla_AP,7,FALSE),0)</f>
        <v>0</v>
      </c>
      <c r="G42" s="81">
        <f t="shared" ref="G42:G49" si="12">ROUND(PrecioUnitario(F42,Costo_Financiero,Gastos_Generales,Beneficio,Ingresos_Brutos,IVA_Vivienda),2)</f>
        <v>0</v>
      </c>
      <c r="H42" s="81">
        <f t="shared" ref="H42:H49" si="13">ROUND(E42*G42,2)</f>
        <v>0</v>
      </c>
      <c r="I42" s="4">
        <f t="shared" ref="I42:I49" si="14">IFERROR(H42/Monto_Oferta,0)</f>
        <v>0</v>
      </c>
      <c r="J42" s="511"/>
      <c r="K42" s="511"/>
      <c r="L42" s="82"/>
    </row>
    <row r="43" spans="1:12" ht="20.100000000000001" customHeight="1" x14ac:dyDescent="0.25">
      <c r="A43" s="186" t="str">
        <f>Datos!B50</f>
        <v>4.6</v>
      </c>
      <c r="B43" s="74" t="str">
        <f t="shared" si="8"/>
        <v>Acero para losas</v>
      </c>
      <c r="C43" s="78"/>
      <c r="D43" s="79" t="str">
        <f t="shared" si="9"/>
        <v>kg</v>
      </c>
      <c r="E43" s="80">
        <f t="shared" si="10"/>
        <v>75771.63</v>
      </c>
      <c r="F43" s="81">
        <f t="shared" si="11"/>
        <v>0</v>
      </c>
      <c r="G43" s="81">
        <f t="shared" si="12"/>
        <v>0</v>
      </c>
      <c r="H43" s="81">
        <f t="shared" si="13"/>
        <v>0</v>
      </c>
      <c r="I43" s="4">
        <f t="shared" si="14"/>
        <v>0</v>
      </c>
      <c r="J43" s="511"/>
      <c r="K43" s="511"/>
      <c r="L43" s="82"/>
    </row>
    <row r="44" spans="1:12" ht="20.100000000000001" customHeight="1" x14ac:dyDescent="0.25">
      <c r="A44" s="186" t="str">
        <f>Datos!B51</f>
        <v>4.7</v>
      </c>
      <c r="B44" s="74" t="str">
        <f t="shared" si="8"/>
        <v>Acero para vigas</v>
      </c>
      <c r="C44" s="78"/>
      <c r="D44" s="79" t="str">
        <f t="shared" si="9"/>
        <v>kg</v>
      </c>
      <c r="E44" s="80">
        <f t="shared" si="10"/>
        <v>438458.36</v>
      </c>
      <c r="F44" s="81">
        <f t="shared" si="11"/>
        <v>0</v>
      </c>
      <c r="G44" s="81">
        <f t="shared" si="12"/>
        <v>0</v>
      </c>
      <c r="H44" s="81">
        <f t="shared" si="13"/>
        <v>0</v>
      </c>
      <c r="I44" s="4">
        <f t="shared" si="14"/>
        <v>0</v>
      </c>
      <c r="J44" s="511"/>
      <c r="K44" s="511"/>
      <c r="L44" s="82"/>
    </row>
    <row r="45" spans="1:12" ht="20.100000000000001" customHeight="1" x14ac:dyDescent="0.25">
      <c r="A45" s="186" t="str">
        <f>Datos!B52</f>
        <v>4.8</v>
      </c>
      <c r="B45" s="74" t="str">
        <f t="shared" si="8"/>
        <v>Acero para columnas</v>
      </c>
      <c r="C45" s="78"/>
      <c r="D45" s="79" t="str">
        <f t="shared" si="9"/>
        <v>kg</v>
      </c>
      <c r="E45" s="80">
        <f t="shared" si="10"/>
        <v>193505.02</v>
      </c>
      <c r="F45" s="81">
        <f t="shared" si="11"/>
        <v>0</v>
      </c>
      <c r="G45" s="81">
        <f t="shared" si="12"/>
        <v>0</v>
      </c>
      <c r="H45" s="81">
        <f t="shared" si="13"/>
        <v>0</v>
      </c>
      <c r="I45" s="4">
        <f t="shared" si="14"/>
        <v>0</v>
      </c>
      <c r="J45" s="511"/>
      <c r="K45" s="511"/>
      <c r="L45" s="82"/>
    </row>
    <row r="46" spans="1:12" ht="20.100000000000001" customHeight="1" x14ac:dyDescent="0.25">
      <c r="A46" s="186" t="str">
        <f>Datos!B53</f>
        <v>4.9</v>
      </c>
      <c r="B46" s="74" t="str">
        <f t="shared" si="8"/>
        <v>Acero para escaleras exteriores</v>
      </c>
      <c r="C46" s="78"/>
      <c r="D46" s="79" t="str">
        <f t="shared" si="9"/>
        <v>kg</v>
      </c>
      <c r="E46" s="80">
        <f t="shared" si="10"/>
        <v>3484</v>
      </c>
      <c r="F46" s="81">
        <f t="shared" si="11"/>
        <v>0</v>
      </c>
      <c r="G46" s="81">
        <f t="shared" si="12"/>
        <v>0</v>
      </c>
      <c r="H46" s="81">
        <f t="shared" si="13"/>
        <v>0</v>
      </c>
      <c r="I46" s="4">
        <f t="shared" si="14"/>
        <v>0</v>
      </c>
      <c r="J46" s="511"/>
      <c r="K46" s="511"/>
      <c r="L46" s="82"/>
    </row>
    <row r="47" spans="1:12" ht="20.100000000000001" customHeight="1" x14ac:dyDescent="0.25">
      <c r="A47" s="186" t="str">
        <f>Datos!B54</f>
        <v>4.10</v>
      </c>
      <c r="B47" s="74" t="str">
        <f t="shared" si="8"/>
        <v>estructura metalica de espacios comunes y chapa exterior</v>
      </c>
      <c r="C47" s="78"/>
      <c r="D47" s="79" t="str">
        <f t="shared" si="9"/>
        <v>kg</v>
      </c>
      <c r="E47" s="80">
        <f t="shared" si="10"/>
        <v>41500.19</v>
      </c>
      <c r="F47" s="81">
        <f t="shared" si="11"/>
        <v>0</v>
      </c>
      <c r="G47" s="81">
        <f t="shared" si="12"/>
        <v>0</v>
      </c>
      <c r="H47" s="81">
        <f t="shared" si="13"/>
        <v>0</v>
      </c>
      <c r="I47" s="4">
        <f t="shared" si="14"/>
        <v>0</v>
      </c>
      <c r="J47" s="511"/>
      <c r="K47" s="511"/>
      <c r="L47" s="82"/>
    </row>
    <row r="48" spans="1:12" ht="20.100000000000001" customHeight="1" x14ac:dyDescent="0.25">
      <c r="A48" s="186" t="str">
        <f>Datos!B55</f>
        <v>4.11</v>
      </c>
      <c r="B48" s="74" t="str">
        <f t="shared" si="8"/>
        <v>chapa lisa en gabinetes</v>
      </c>
      <c r="C48" s="78"/>
      <c r="D48" s="79" t="str">
        <f t="shared" si="9"/>
        <v>kg</v>
      </c>
      <c r="E48" s="80">
        <f t="shared" si="10"/>
        <v>220.01</v>
      </c>
      <c r="F48" s="81">
        <f t="shared" si="11"/>
        <v>0</v>
      </c>
      <c r="G48" s="81">
        <f t="shared" si="12"/>
        <v>0</v>
      </c>
      <c r="H48" s="81">
        <f t="shared" si="13"/>
        <v>0</v>
      </c>
      <c r="I48" s="4">
        <f t="shared" si="14"/>
        <v>0</v>
      </c>
      <c r="J48" s="511"/>
      <c r="K48" s="511"/>
      <c r="L48" s="82"/>
    </row>
    <row r="49" spans="1:12" ht="20.100000000000001" customHeight="1" x14ac:dyDescent="0.25">
      <c r="A49" s="186" t="str">
        <f>Datos!B56</f>
        <v>4.12</v>
      </c>
      <c r="B49" s="74" t="str">
        <f t="shared" si="8"/>
        <v xml:space="preserve">chapa micro perforada </v>
      </c>
      <c r="C49" s="78"/>
      <c r="D49" s="79" t="str">
        <f t="shared" si="9"/>
        <v>kg</v>
      </c>
      <c r="E49" s="80">
        <f t="shared" si="10"/>
        <v>2200.1</v>
      </c>
      <c r="F49" s="81">
        <f t="shared" si="11"/>
        <v>0</v>
      </c>
      <c r="G49" s="81">
        <f t="shared" si="12"/>
        <v>0</v>
      </c>
      <c r="H49" s="81">
        <f t="shared" si="13"/>
        <v>0</v>
      </c>
      <c r="I49" s="4">
        <f t="shared" si="14"/>
        <v>0</v>
      </c>
      <c r="J49" s="511"/>
      <c r="K49" s="511"/>
      <c r="L49" s="82"/>
    </row>
    <row r="50" spans="1:12" ht="20.100000000000001" customHeight="1" x14ac:dyDescent="0.25">
      <c r="A50" s="559">
        <f>Datos!B57</f>
        <v>5</v>
      </c>
      <c r="B50" s="560" t="str">
        <f t="shared" si="1"/>
        <v>ALBAÑILERÍA | CERRAMIENTOS VERTICALES</v>
      </c>
      <c r="C50" s="561"/>
      <c r="D50" s="562"/>
      <c r="E50" s="563"/>
      <c r="F50" s="564"/>
      <c r="G50" s="564"/>
      <c r="H50" s="564"/>
      <c r="I50" s="565"/>
      <c r="J50" s="511"/>
      <c r="L50" s="82"/>
    </row>
    <row r="51" spans="1:12" ht="20.100000000000001" customHeight="1" x14ac:dyDescent="0.25">
      <c r="A51" s="186" t="str">
        <f>Datos!B58</f>
        <v>5.1</v>
      </c>
      <c r="B51" s="74" t="str">
        <f t="shared" si="1"/>
        <v>Mampostería interior - Tabique Liviano</v>
      </c>
      <c r="C51" s="78"/>
      <c r="D51" s="79" t="str">
        <f t="shared" si="2"/>
        <v>m2</v>
      </c>
      <c r="E51" s="80">
        <f t="shared" si="3"/>
        <v>7557.08</v>
      </c>
      <c r="F51" s="81">
        <f t="shared" si="7"/>
        <v>0</v>
      </c>
      <c r="G51" s="81">
        <f>ROUND(PrecioUnitario(F51,Costo_Financiero,Gastos_Generales,Beneficio,Ingresos_Brutos,IVA_Vivienda),2)</f>
        <v>0</v>
      </c>
      <c r="H51" s="81">
        <f t="shared" si="5"/>
        <v>0</v>
      </c>
      <c r="I51" s="4">
        <f>IFERROR(H51/Monto_Oferta,0)</f>
        <v>0</v>
      </c>
      <c r="J51" s="511"/>
      <c r="K51" s="511"/>
      <c r="L51" s="82"/>
    </row>
    <row r="52" spans="1:12" ht="20.100000000000001" customHeight="1" x14ac:dyDescent="0.25">
      <c r="A52" s="186" t="str">
        <f>Datos!B59</f>
        <v>5.2</v>
      </c>
      <c r="B52" s="74" t="str">
        <f t="shared" si="1"/>
        <v>Mampostería exterior -  Muro de ladrillo ceramico hueco</v>
      </c>
      <c r="C52" s="78"/>
      <c r="D52" s="79" t="str">
        <f t="shared" si="2"/>
        <v>m2</v>
      </c>
      <c r="E52" s="80">
        <f t="shared" si="3"/>
        <v>7351.8</v>
      </c>
      <c r="F52" s="81">
        <f t="shared" si="7"/>
        <v>0</v>
      </c>
      <c r="G52" s="81">
        <f t="shared" si="4"/>
        <v>0</v>
      </c>
      <c r="H52" s="81">
        <f t="shared" si="5"/>
        <v>0</v>
      </c>
      <c r="I52" s="4">
        <f t="shared" si="6"/>
        <v>0</v>
      </c>
      <c r="J52" s="511"/>
      <c r="K52" s="511"/>
      <c r="L52" s="82"/>
    </row>
    <row r="53" spans="1:12" ht="20.100000000000001" customHeight="1" x14ac:dyDescent="0.25">
      <c r="A53" s="559">
        <f>Datos!B60</f>
        <v>6</v>
      </c>
      <c r="B53" s="560" t="str">
        <f t="shared" si="1"/>
        <v>AISLACIONES Y REVOQUES</v>
      </c>
      <c r="C53" s="561"/>
      <c r="D53" s="562"/>
      <c r="E53" s="563"/>
      <c r="F53" s="564"/>
      <c r="G53" s="564"/>
      <c r="H53" s="564"/>
      <c r="I53" s="565"/>
      <c r="J53" s="511"/>
      <c r="K53" s="511"/>
      <c r="L53" s="82"/>
    </row>
    <row r="54" spans="1:12" ht="20.100000000000001" customHeight="1" x14ac:dyDescent="0.25">
      <c r="A54" s="186" t="str">
        <f>Datos!B61</f>
        <v>6.1</v>
      </c>
      <c r="B54" s="74" t="str">
        <f t="shared" si="1"/>
        <v>Aislación hidrófuga horizontal en muros PB (cajón)</v>
      </c>
      <c r="C54" s="78"/>
      <c r="D54" s="79" t="str">
        <f t="shared" si="2"/>
        <v>m2</v>
      </c>
      <c r="E54" s="80">
        <f t="shared" si="3"/>
        <v>341.834</v>
      </c>
      <c r="F54" s="81">
        <f t="shared" si="7"/>
        <v>0</v>
      </c>
      <c r="G54" s="81">
        <f t="shared" si="4"/>
        <v>0</v>
      </c>
      <c r="H54" s="81">
        <f t="shared" si="5"/>
        <v>0</v>
      </c>
      <c r="I54" s="4">
        <f t="shared" si="6"/>
        <v>0</v>
      </c>
      <c r="J54" s="511"/>
      <c r="K54" s="511"/>
      <c r="L54" s="82"/>
    </row>
    <row r="55" spans="1:12" ht="20.100000000000001" customHeight="1" x14ac:dyDescent="0.25">
      <c r="A55" s="186" t="str">
        <f>Datos!B62</f>
        <v>6.2</v>
      </c>
      <c r="B55" s="74" t="str">
        <f t="shared" si="1"/>
        <v>Revoque grueso bajo revestimiento en locales húmedos</v>
      </c>
      <c r="C55" s="78"/>
      <c r="D55" s="79" t="str">
        <f t="shared" si="2"/>
        <v>m2</v>
      </c>
      <c r="E55" s="80">
        <f t="shared" si="3"/>
        <v>1155.088</v>
      </c>
      <c r="F55" s="81">
        <f t="shared" si="7"/>
        <v>0</v>
      </c>
      <c r="G55" s="81">
        <f t="shared" si="4"/>
        <v>0</v>
      </c>
      <c r="H55" s="81">
        <f t="shared" si="5"/>
        <v>0</v>
      </c>
      <c r="I55" s="4">
        <f t="shared" si="6"/>
        <v>0</v>
      </c>
      <c r="J55" s="511"/>
      <c r="K55" s="511"/>
      <c r="L55" s="82"/>
    </row>
    <row r="56" spans="1:12" ht="20.100000000000001" customHeight="1" x14ac:dyDescent="0.25">
      <c r="A56" s="186" t="str">
        <f>Datos!B63</f>
        <v>6.3</v>
      </c>
      <c r="B56" s="74" t="str">
        <f>IFERROR(VLOOKUP(A56,Tabla_Datos,2,FALSE),0)</f>
        <v xml:space="preserve">Revoque  y enlucido interior </v>
      </c>
      <c r="C56" s="78"/>
      <c r="D56" s="79" t="str">
        <f>IFERROR(VLOOKUP(A56,Tabla_Datos,3,FALSE),0)</f>
        <v>m2</v>
      </c>
      <c r="E56" s="80">
        <f t="shared" si="3"/>
        <v>7069.2821999999996</v>
      </c>
      <c r="F56" s="81">
        <f>IFERROR(VLOOKUP(A56,Tabla_AP,7,FALSE),0)</f>
        <v>0</v>
      </c>
      <c r="G56" s="81">
        <f t="shared" si="4"/>
        <v>0</v>
      </c>
      <c r="H56" s="81">
        <f t="shared" si="5"/>
        <v>0</v>
      </c>
      <c r="I56" s="4">
        <f>IFERROR(H56/Monto_Oferta,0)</f>
        <v>0</v>
      </c>
      <c r="J56" s="511"/>
      <c r="K56" s="511"/>
      <c r="L56" s="82"/>
    </row>
    <row r="57" spans="1:12" ht="20.100000000000001" customHeight="1" x14ac:dyDescent="0.25">
      <c r="A57" s="186" t="str">
        <f>Datos!B64</f>
        <v>6.4</v>
      </c>
      <c r="B57" s="74" t="str">
        <f t="shared" si="1"/>
        <v>Revoque exterior</v>
      </c>
      <c r="C57" s="78"/>
      <c r="D57" s="79" t="str">
        <f t="shared" si="2"/>
        <v>m2</v>
      </c>
      <c r="E57" s="80">
        <f t="shared" si="3"/>
        <v>6811.1719999999996</v>
      </c>
      <c r="F57" s="81">
        <f t="shared" si="7"/>
        <v>0</v>
      </c>
      <c r="G57" s="81">
        <f t="shared" si="4"/>
        <v>0</v>
      </c>
      <c r="H57" s="81">
        <f t="shared" si="5"/>
        <v>0</v>
      </c>
      <c r="I57" s="4">
        <f t="shared" si="6"/>
        <v>0</v>
      </c>
      <c r="J57" s="511"/>
      <c r="K57" s="511"/>
      <c r="L57" s="82"/>
    </row>
    <row r="58" spans="1:12" ht="20.100000000000001" customHeight="1" x14ac:dyDescent="0.25">
      <c r="A58" s="559">
        <f>Datos!B65</f>
        <v>7</v>
      </c>
      <c r="B58" s="560" t="str">
        <f t="shared" si="1"/>
        <v>REVESTIMIENTOS</v>
      </c>
      <c r="C58" s="561"/>
      <c r="D58" s="562"/>
      <c r="E58" s="563"/>
      <c r="F58" s="564"/>
      <c r="G58" s="564"/>
      <c r="H58" s="564"/>
      <c r="I58" s="565"/>
      <c r="J58" s="511"/>
      <c r="K58" s="511"/>
      <c r="L58" s="82"/>
    </row>
    <row r="59" spans="1:12" ht="20.100000000000001" customHeight="1" x14ac:dyDescent="0.25">
      <c r="A59" s="186" t="str">
        <f>Datos!B66</f>
        <v>7.1</v>
      </c>
      <c r="B59" s="74" t="str">
        <f t="shared" ref="B59" si="15">IFERROR(VLOOKUP(A59,Tabla_Datos,2,FALSE),0)</f>
        <v>Cerámico Cocina y baño</v>
      </c>
      <c r="C59" s="78"/>
      <c r="D59" s="79" t="str">
        <f t="shared" ref="D59" si="16">IFERROR(VLOOKUP(A59,Tabla_Datos,3,FALSE),0)</f>
        <v>m2</v>
      </c>
      <c r="E59" s="80">
        <f t="shared" si="3"/>
        <v>2135.44</v>
      </c>
      <c r="F59" s="81">
        <f>IFERROR(VLOOKUP(A59,Tabla_AP,7,FALSE),0)</f>
        <v>0</v>
      </c>
      <c r="G59" s="81">
        <f t="shared" si="4"/>
        <v>0</v>
      </c>
      <c r="H59" s="81">
        <f t="shared" si="5"/>
        <v>0</v>
      </c>
      <c r="I59" s="4">
        <f t="shared" ref="I59" si="17">IFERROR(H59/Monto_Oferta,0)</f>
        <v>0</v>
      </c>
      <c r="J59" s="511"/>
      <c r="K59" s="511"/>
      <c r="L59" s="82"/>
    </row>
    <row r="60" spans="1:12" ht="20.100000000000001" customHeight="1" x14ac:dyDescent="0.25">
      <c r="A60" s="559">
        <f>Datos!B67</f>
        <v>8</v>
      </c>
      <c r="B60" s="560" t="str">
        <f t="shared" ref="B60:B64" si="18">IFERROR(VLOOKUP(A60,Tabla_Datos,2,FALSE),0)</f>
        <v>PINTURA</v>
      </c>
      <c r="C60" s="561"/>
      <c r="D60" s="562"/>
      <c r="E60" s="563"/>
      <c r="F60" s="564"/>
      <c r="G60" s="564"/>
      <c r="H60" s="564"/>
      <c r="I60" s="565"/>
      <c r="J60" s="511"/>
      <c r="K60" s="511"/>
      <c r="L60" s="82"/>
    </row>
    <row r="61" spans="1:12" ht="20.100000000000001" customHeight="1" x14ac:dyDescent="0.25">
      <c r="A61" s="186" t="str">
        <f>Datos!B68</f>
        <v>8.1</v>
      </c>
      <c r="B61" s="74" t="str">
        <f t="shared" si="18"/>
        <v>Pintura al látex en muros</v>
      </c>
      <c r="C61" s="78"/>
      <c r="D61" s="79" t="str">
        <f t="shared" ref="D61:D64" si="19">IFERROR(VLOOKUP(A61,Tabla_Datos,3,FALSE),0)</f>
        <v>m2</v>
      </c>
      <c r="E61" s="80">
        <f t="shared" si="3"/>
        <v>10904.35</v>
      </c>
      <c r="F61" s="81">
        <f t="shared" ref="F61:F64" si="20">IFERROR(VLOOKUP(A61,Tabla_AP,7,FALSE),0)</f>
        <v>0</v>
      </c>
      <c r="G61" s="81">
        <f t="shared" si="4"/>
        <v>0</v>
      </c>
      <c r="H61" s="81">
        <f t="shared" si="5"/>
        <v>0</v>
      </c>
      <c r="I61" s="4">
        <f t="shared" ref="I61:I64" si="21">IFERROR(H61/Monto_Oferta,0)</f>
        <v>0</v>
      </c>
      <c r="J61" s="511"/>
      <c r="K61" s="511"/>
      <c r="L61" s="82"/>
    </row>
    <row r="62" spans="1:12" ht="20.100000000000001" customHeight="1" x14ac:dyDescent="0.25">
      <c r="A62" s="186" t="str">
        <f>Datos!B69</f>
        <v>8.2</v>
      </c>
      <c r="B62" s="74" t="str">
        <f t="shared" ref="B62" si="22">IFERROR(VLOOKUP(A62,Tabla_Datos,2,FALSE),0)</f>
        <v>Pintura al látex en cielorrasos</v>
      </c>
      <c r="C62" s="78"/>
      <c r="D62" s="79" t="str">
        <f t="shared" ref="D62" si="23">IFERROR(VLOOKUP(A62,Tabla_Datos,3,FALSE),0)</f>
        <v>m2</v>
      </c>
      <c r="E62" s="80">
        <f t="shared" si="3"/>
        <v>7740.77</v>
      </c>
      <c r="F62" s="81">
        <f t="shared" ref="F62" si="24">IFERROR(VLOOKUP(A62,Tabla_AP,7,FALSE),0)</f>
        <v>0</v>
      </c>
      <c r="G62" s="81">
        <f t="shared" si="4"/>
        <v>0</v>
      </c>
      <c r="H62" s="81">
        <f t="shared" si="5"/>
        <v>0</v>
      </c>
      <c r="I62" s="4">
        <f t="shared" ref="I62" si="25">IFERROR(H62/Monto_Oferta,0)</f>
        <v>0</v>
      </c>
      <c r="J62" s="511"/>
      <c r="K62" s="511"/>
      <c r="L62" s="82"/>
    </row>
    <row r="63" spans="1:12" ht="20.100000000000001" customHeight="1" x14ac:dyDescent="0.25">
      <c r="A63" s="186" t="str">
        <f>Datos!B70</f>
        <v>8.3</v>
      </c>
      <c r="B63" s="74" t="str">
        <f t="shared" si="18"/>
        <v xml:space="preserve">Pintura látex antihongos                                                                                                                                                                   </v>
      </c>
      <c r="C63" s="78"/>
      <c r="D63" s="79" t="str">
        <f t="shared" si="19"/>
        <v>m2</v>
      </c>
      <c r="E63" s="80">
        <f t="shared" si="3"/>
        <v>411.57</v>
      </c>
      <c r="F63" s="81">
        <f t="shared" si="20"/>
        <v>0</v>
      </c>
      <c r="G63" s="81">
        <f t="shared" si="4"/>
        <v>0</v>
      </c>
      <c r="H63" s="81">
        <f t="shared" si="5"/>
        <v>0</v>
      </c>
      <c r="I63" s="4">
        <f t="shared" si="21"/>
        <v>0</v>
      </c>
      <c r="J63" s="511"/>
      <c r="K63" s="511"/>
      <c r="L63" s="82"/>
    </row>
    <row r="64" spans="1:12" ht="20.100000000000001" customHeight="1" x14ac:dyDescent="0.25">
      <c r="A64" s="186" t="str">
        <f>Datos!B71</f>
        <v>8.4</v>
      </c>
      <c r="B64" s="74" t="str">
        <f t="shared" si="18"/>
        <v>Pintura al látex exterioren muros</v>
      </c>
      <c r="C64" s="78"/>
      <c r="D64" s="79" t="str">
        <f t="shared" si="19"/>
        <v>m2</v>
      </c>
      <c r="E64" s="80">
        <f t="shared" si="3"/>
        <v>7093.08</v>
      </c>
      <c r="F64" s="81">
        <f t="shared" si="20"/>
        <v>0</v>
      </c>
      <c r="G64" s="81">
        <f>ROUND(PrecioUnitario(F64,Costo_Financiero,Gastos_Generales,Beneficio,Ingresos_Brutos,IVA_Vivienda),2)</f>
        <v>0</v>
      </c>
      <c r="H64" s="81">
        <f t="shared" si="5"/>
        <v>0</v>
      </c>
      <c r="I64" s="4">
        <f t="shared" si="21"/>
        <v>0</v>
      </c>
      <c r="J64" s="511"/>
      <c r="K64" s="511"/>
      <c r="L64" s="82"/>
    </row>
    <row r="65" spans="1:12" ht="20.100000000000001" customHeight="1" x14ac:dyDescent="0.25">
      <c r="A65" s="186" t="str">
        <f>Datos!B72</f>
        <v>8.5</v>
      </c>
      <c r="B65" s="74" t="str">
        <f t="shared" ref="B65:B66" si="26">IFERROR(VLOOKUP(A65,Tabla_Datos,2,FALSE),0)</f>
        <v>Pintura esmalte sintético carpinterías de chapa</v>
      </c>
      <c r="C65" s="78"/>
      <c r="D65" s="79" t="str">
        <f t="shared" ref="D65:D66" si="27">IFERROR(VLOOKUP(A65,Tabla_Datos,3,FALSE),0)</f>
        <v>gl</v>
      </c>
      <c r="E65" s="80">
        <f t="shared" si="3"/>
        <v>103</v>
      </c>
      <c r="F65" s="81">
        <f t="shared" ref="F65:F66" si="28">IFERROR(VLOOKUP(A65,Tabla_AP,7,FALSE),0)</f>
        <v>0</v>
      </c>
      <c r="G65" s="81">
        <f>ROUND(PrecioUnitario(F65,Costo_Financiero,Gastos_Generales,Beneficio,Ingresos_Brutos,IVA_Vivienda),2)</f>
        <v>0</v>
      </c>
      <c r="H65" s="81">
        <f t="shared" si="5"/>
        <v>0</v>
      </c>
      <c r="I65" s="4">
        <f t="shared" ref="I65:I66" si="29">IFERROR(H65/Monto_Oferta,0)</f>
        <v>0</v>
      </c>
      <c r="J65" s="511"/>
      <c r="K65" s="511"/>
      <c r="L65" s="82"/>
    </row>
    <row r="66" spans="1:12" ht="20.100000000000001" customHeight="1" x14ac:dyDescent="0.25">
      <c r="A66" s="186" t="str">
        <f>Datos!B73</f>
        <v>8.6</v>
      </c>
      <c r="B66" s="74" t="str">
        <f t="shared" si="26"/>
        <v>Pintura esmalte sintético carpinterías de madera</v>
      </c>
      <c r="C66" s="78"/>
      <c r="D66" s="79" t="str">
        <f t="shared" si="27"/>
        <v>gl</v>
      </c>
      <c r="E66" s="80">
        <f t="shared" si="3"/>
        <v>103</v>
      </c>
      <c r="F66" s="81">
        <f t="shared" si="28"/>
        <v>0</v>
      </c>
      <c r="G66" s="81">
        <f t="shared" si="4"/>
        <v>0</v>
      </c>
      <c r="H66" s="81">
        <f t="shared" si="5"/>
        <v>0</v>
      </c>
      <c r="I66" s="4">
        <f t="shared" si="29"/>
        <v>0</v>
      </c>
      <c r="J66" s="511"/>
      <c r="K66" s="511"/>
      <c r="L66" s="82"/>
    </row>
    <row r="67" spans="1:12" ht="19.5" customHeight="1" x14ac:dyDescent="0.25">
      <c r="A67" s="559">
        <f>Datos!B74</f>
        <v>9</v>
      </c>
      <c r="B67" s="560" t="str">
        <f t="shared" ref="B67" si="30">IFERROR(VLOOKUP(A67,Tabla_Datos,2,FALSE),0)</f>
        <v>CONTRAPISOS y CARPETAS</v>
      </c>
      <c r="C67" s="561"/>
      <c r="D67" s="562"/>
      <c r="E67" s="563"/>
      <c r="F67" s="564"/>
      <c r="G67" s="564"/>
      <c r="H67" s="564"/>
      <c r="I67" s="565"/>
      <c r="J67" s="511"/>
      <c r="K67" s="511"/>
      <c r="L67" s="82"/>
    </row>
    <row r="68" spans="1:12" ht="19.5" customHeight="1" x14ac:dyDescent="0.25">
      <c r="A68" s="186" t="str">
        <f>Datos!B75</f>
        <v>9.1</v>
      </c>
      <c r="B68" s="74" t="str">
        <f t="shared" ref="B68" si="31">IFERROR(VLOOKUP(A68,Tabla_Datos,2,FALSE),0)</f>
        <v xml:space="preserve">Contrapiso sobre losa de HºPº esp= 8cm </v>
      </c>
      <c r="C68" s="78"/>
      <c r="D68" s="79" t="str">
        <f t="shared" ref="D68" si="32">IFERROR(VLOOKUP(A68,Tabla_Datos,3,FALSE),0)</f>
        <v>m2</v>
      </c>
      <c r="E68" s="80">
        <f t="shared" si="3"/>
        <v>10274.17</v>
      </c>
      <c r="F68" s="81">
        <f t="shared" ref="F68" si="33">IFERROR(VLOOKUP(A68,Tabla_AP,7,FALSE),0)</f>
        <v>0</v>
      </c>
      <c r="G68" s="81">
        <f t="shared" si="4"/>
        <v>0</v>
      </c>
      <c r="H68" s="81">
        <f t="shared" si="5"/>
        <v>0</v>
      </c>
      <c r="I68" s="4">
        <f t="shared" ref="I68" si="34">IFERROR(H68/Monto_Oferta,0)</f>
        <v>0</v>
      </c>
      <c r="J68" s="511"/>
      <c r="K68" s="511"/>
      <c r="L68" s="82"/>
    </row>
    <row r="69" spans="1:12" ht="19.5" customHeight="1" x14ac:dyDescent="0.25">
      <c r="A69" s="186" t="str">
        <f>Datos!B76</f>
        <v>9.2</v>
      </c>
      <c r="B69" s="74" t="str">
        <f t="shared" ref="B69" si="35">IFERROR(VLOOKUP(A69,Tabla_Datos,2,FALSE),0)</f>
        <v>Contrapiso para terrazas o azoteas con pendiente según documentación de Proyecto</v>
      </c>
      <c r="C69" s="78"/>
      <c r="D69" s="79" t="str">
        <f t="shared" ref="D69" si="36">IFERROR(VLOOKUP(A69,Tabla_Datos,3,FALSE),0)</f>
        <v>m2</v>
      </c>
      <c r="E69" s="80">
        <f t="shared" si="3"/>
        <v>290.79000000000002</v>
      </c>
      <c r="F69" s="81">
        <f t="shared" ref="F69" si="37">IFERROR(VLOOKUP(A69,Tabla_AP,7,FALSE),0)</f>
        <v>0</v>
      </c>
      <c r="G69" s="81">
        <f t="shared" si="4"/>
        <v>0</v>
      </c>
      <c r="H69" s="81">
        <f t="shared" si="5"/>
        <v>0</v>
      </c>
      <c r="I69" s="4">
        <f t="shared" ref="I69" si="38">IFERROR(H69/Monto_Oferta,0)</f>
        <v>0</v>
      </c>
      <c r="J69" s="511"/>
      <c r="K69" s="511"/>
      <c r="L69" s="82"/>
    </row>
    <row r="70" spans="1:12" ht="19.5" customHeight="1" x14ac:dyDescent="0.25">
      <c r="A70" s="186" t="str">
        <f>Datos!B77</f>
        <v>9.3</v>
      </c>
      <c r="B70" s="74" t="str">
        <f t="shared" ref="B70:B71" si="39">IFERROR(VLOOKUP(A70,Tabla_Datos,2,FALSE),0)</f>
        <v>Banquina bajo mueble de cocina</v>
      </c>
      <c r="C70" s="78"/>
      <c r="D70" s="79" t="str">
        <f t="shared" ref="D70:D71" si="40">IFERROR(VLOOKUP(A70,Tabla_Datos,3,FALSE),0)</f>
        <v>m2</v>
      </c>
      <c r="E70" s="80">
        <f t="shared" si="3"/>
        <v>87.71</v>
      </c>
      <c r="F70" s="81">
        <f t="shared" ref="F70:F71" si="41">IFERROR(VLOOKUP(A70,Tabla_AP,7,FALSE),0)</f>
        <v>0</v>
      </c>
      <c r="G70" s="81">
        <f t="shared" si="4"/>
        <v>0</v>
      </c>
      <c r="H70" s="81">
        <f t="shared" si="5"/>
        <v>0</v>
      </c>
      <c r="I70" s="4">
        <f t="shared" ref="I70:I71" si="42">IFERROR(H70/Monto_Oferta,0)</f>
        <v>0</v>
      </c>
      <c r="J70" s="511"/>
      <c r="K70" s="511"/>
      <c r="L70" s="82"/>
    </row>
    <row r="71" spans="1:12" ht="19.5" customHeight="1" x14ac:dyDescent="0.25">
      <c r="A71" s="186" t="str">
        <f>Datos!B78</f>
        <v>9.4</v>
      </c>
      <c r="B71" s="74" t="str">
        <f t="shared" si="39"/>
        <v xml:space="preserve">Carpeta bajo ceramico </v>
      </c>
      <c r="C71" s="78"/>
      <c r="D71" s="79" t="str">
        <f t="shared" si="40"/>
        <v>m2</v>
      </c>
      <c r="E71" s="80">
        <f t="shared" si="3"/>
        <v>7742.3306000000002</v>
      </c>
      <c r="F71" s="81">
        <f t="shared" si="41"/>
        <v>0</v>
      </c>
      <c r="G71" s="81">
        <f t="shared" si="4"/>
        <v>0</v>
      </c>
      <c r="H71" s="81">
        <f t="shared" si="5"/>
        <v>0</v>
      </c>
      <c r="I71" s="4">
        <f t="shared" si="42"/>
        <v>0</v>
      </c>
      <c r="J71" s="511"/>
      <c r="K71" s="511"/>
      <c r="L71" s="82"/>
    </row>
    <row r="72" spans="1:12" ht="19.5" customHeight="1" x14ac:dyDescent="0.25">
      <c r="A72" s="559">
        <f>Datos!B79</f>
        <v>10</v>
      </c>
      <c r="B72" s="560" t="str">
        <f t="shared" ref="B72:B83" si="43">IFERROR(VLOOKUP(A72,Tabla_Datos,2,FALSE),0)</f>
        <v xml:space="preserve">PISOS Y ZOCALOS </v>
      </c>
      <c r="C72" s="561"/>
      <c r="D72" s="562"/>
      <c r="E72" s="563"/>
      <c r="F72" s="564"/>
      <c r="G72" s="564"/>
      <c r="H72" s="564"/>
      <c r="I72" s="565"/>
      <c r="J72" s="511"/>
      <c r="K72" s="511"/>
      <c r="L72" s="82"/>
    </row>
    <row r="73" spans="1:12" ht="19.5" customHeight="1" x14ac:dyDescent="0.25">
      <c r="A73" s="186" t="str">
        <f>Datos!B80</f>
        <v>10.1</v>
      </c>
      <c r="B73" s="74" t="str">
        <f t="shared" si="43"/>
        <v>Piso ceramico de primera calidad</v>
      </c>
      <c r="C73" s="78"/>
      <c r="D73" s="79" t="str">
        <f t="shared" ref="D73:D83" si="44">IFERROR(VLOOKUP(A73,Tabla_Datos,3,FALSE),0)</f>
        <v>m2</v>
      </c>
      <c r="E73" s="80">
        <f t="shared" ref="E73:E83" si="45">ROUND(IFERROR(VLOOKUP(A73,Tabla_P1,4,FALSE)*Cant_Viv_P1,0)+IFERROR(VLOOKUP(A73,Tabla_P2,4,FALSE)*Cant_Viv_P2,0)+IFERROR(VLOOKUP(A73,Tabla_P3,4,FALSE)*Cant_Viv_P3,0)+IFERROR(VLOOKUP(A73,Tabla_P4,4,FALSE)*Cant_Viv_P4,0)+IFERROR(VLOOKUP(A73,Tabla_P5,4,FALSE)*Cant_Viv_P5,0)+IFERROR(VLOOKUP(A73,Tabla_P6,4,FALSE)*Cant_Viv_P6,0)+IFERROR(VLOOKUP(A73,Tabla_P7,4,FALSE)*Cant_Viv_P7,0)++IFERROR(VLOOKUP(A73,Tabla_EC,4,FALSE)*EspacioComun,0),5)</f>
        <v>7742.6490999999996</v>
      </c>
      <c r="F73" s="81">
        <f t="shared" ref="F73:F83" si="46">IFERROR(VLOOKUP(A73,Tabla_AP,7,FALSE),0)</f>
        <v>0</v>
      </c>
      <c r="G73" s="81">
        <f t="shared" ref="G73:G83" si="47">ROUND(PrecioUnitario(F73,Costo_Financiero,Gastos_Generales,Beneficio,Ingresos_Brutos,IVA_Vivienda),2)</f>
        <v>0</v>
      </c>
      <c r="H73" s="81">
        <f t="shared" ref="H73:H83" si="48">ROUND(E73*G73,2)</f>
        <v>0</v>
      </c>
      <c r="I73" s="4">
        <f t="shared" ref="I73:I83" si="49">IFERROR(H73/Monto_Oferta,0)</f>
        <v>0</v>
      </c>
      <c r="J73" s="511"/>
      <c r="K73" s="511"/>
      <c r="L73" s="82"/>
    </row>
    <row r="74" spans="1:12" ht="19.5" customHeight="1" x14ac:dyDescent="0.25">
      <c r="A74" s="186" t="str">
        <f>Datos!B81</f>
        <v>10.2</v>
      </c>
      <c r="B74" s="74" t="str">
        <f t="shared" si="43"/>
        <v>Zocalo ceramico</v>
      </c>
      <c r="C74" s="78"/>
      <c r="D74" s="79" t="str">
        <f t="shared" si="44"/>
        <v>ml</v>
      </c>
      <c r="E74" s="80">
        <f t="shared" si="45"/>
        <v>9277.59</v>
      </c>
      <c r="F74" s="81">
        <f t="shared" si="46"/>
        <v>0</v>
      </c>
      <c r="G74" s="81">
        <f t="shared" si="47"/>
        <v>0</v>
      </c>
      <c r="H74" s="81">
        <f t="shared" si="48"/>
        <v>0</v>
      </c>
      <c r="I74" s="4">
        <f t="shared" si="49"/>
        <v>0</v>
      </c>
      <c r="J74" s="511"/>
      <c r="K74" s="511"/>
      <c r="L74" s="82"/>
    </row>
    <row r="75" spans="1:12" ht="19.5" customHeight="1" x14ac:dyDescent="0.25">
      <c r="A75" s="559">
        <f>Datos!B82</f>
        <v>11</v>
      </c>
      <c r="B75" s="560" t="str">
        <f t="shared" si="43"/>
        <v xml:space="preserve">CIELORRASOS  </v>
      </c>
      <c r="C75" s="561"/>
      <c r="D75" s="562"/>
      <c r="E75" s="563"/>
      <c r="F75" s="564"/>
      <c r="G75" s="564"/>
      <c r="H75" s="564"/>
      <c r="I75" s="565"/>
      <c r="J75" s="511"/>
      <c r="K75" s="511"/>
      <c r="L75" s="82"/>
    </row>
    <row r="76" spans="1:12" ht="19.5" customHeight="1" x14ac:dyDescent="0.25">
      <c r="A76" s="186" t="str">
        <f>Datos!B83</f>
        <v>11.1</v>
      </c>
      <c r="B76" s="74" t="str">
        <f t="shared" si="43"/>
        <v>Cielorraso aplicado enlucido de yeso</v>
      </c>
      <c r="C76" s="78"/>
      <c r="D76" s="79" t="str">
        <f t="shared" si="44"/>
        <v>m2</v>
      </c>
      <c r="E76" s="80">
        <f t="shared" si="45"/>
        <v>7723.8757999999998</v>
      </c>
      <c r="F76" s="81">
        <f t="shared" si="46"/>
        <v>0</v>
      </c>
      <c r="G76" s="81">
        <f t="shared" si="47"/>
        <v>0</v>
      </c>
      <c r="H76" s="81">
        <f t="shared" si="48"/>
        <v>0</v>
      </c>
      <c r="I76" s="4">
        <f t="shared" si="49"/>
        <v>0</v>
      </c>
      <c r="J76" s="511"/>
      <c r="K76" s="511"/>
      <c r="L76" s="82"/>
    </row>
    <row r="77" spans="1:12" ht="19.5" customHeight="1" x14ac:dyDescent="0.25">
      <c r="A77" s="186" t="str">
        <f>Datos!B84</f>
        <v>11.2</v>
      </c>
      <c r="B77" s="74" t="str">
        <f t="shared" si="43"/>
        <v>Suspendidos de placa de roca de yeso resistente a la humedad ( con proteccion acustica)</v>
      </c>
      <c r="C77" s="78"/>
      <c r="D77" s="79" t="str">
        <f t="shared" si="44"/>
        <v>m2</v>
      </c>
      <c r="E77" s="80">
        <f t="shared" si="45"/>
        <v>412.02100000000002</v>
      </c>
      <c r="F77" s="81">
        <f t="shared" si="46"/>
        <v>0</v>
      </c>
      <c r="G77" s="81">
        <f t="shared" si="47"/>
        <v>0</v>
      </c>
      <c r="H77" s="81">
        <f t="shared" si="48"/>
        <v>0</v>
      </c>
      <c r="I77" s="4">
        <f t="shared" si="49"/>
        <v>0</v>
      </c>
      <c r="J77" s="511"/>
      <c r="K77" s="511"/>
      <c r="L77" s="82"/>
    </row>
    <row r="78" spans="1:12" ht="19.5" customHeight="1" x14ac:dyDescent="0.25">
      <c r="A78" s="559">
        <f>Datos!B85</f>
        <v>12</v>
      </c>
      <c r="B78" s="560" t="str">
        <f t="shared" si="43"/>
        <v xml:space="preserve">CUBIERTA </v>
      </c>
      <c r="C78" s="561"/>
      <c r="D78" s="562"/>
      <c r="E78" s="563"/>
      <c r="F78" s="564"/>
      <c r="G78" s="564"/>
      <c r="H78" s="564"/>
      <c r="I78" s="565"/>
      <c r="J78" s="511"/>
      <c r="K78" s="511"/>
      <c r="L78" s="82"/>
    </row>
    <row r="79" spans="1:12" ht="19.5" customHeight="1" x14ac:dyDescent="0.25">
      <c r="A79" s="186" t="str">
        <f>Datos!B86</f>
        <v>12.1</v>
      </c>
      <c r="B79" s="74" t="str">
        <f t="shared" si="43"/>
        <v>Hormigón Liviano con Pendiente | esp min 5 cm</v>
      </c>
      <c r="C79" s="78"/>
      <c r="D79" s="79" t="str">
        <f t="shared" si="44"/>
        <v>m2</v>
      </c>
      <c r="E79" s="80">
        <f t="shared" si="45"/>
        <v>1346.43</v>
      </c>
      <c r="F79" s="81">
        <f t="shared" si="46"/>
        <v>0</v>
      </c>
      <c r="G79" s="81">
        <f t="shared" si="47"/>
        <v>0</v>
      </c>
      <c r="H79" s="81">
        <f t="shared" si="48"/>
        <v>0</v>
      </c>
      <c r="I79" s="4">
        <f t="shared" si="49"/>
        <v>0</v>
      </c>
      <c r="J79" s="511"/>
      <c r="K79" s="511"/>
      <c r="L79" s="82"/>
    </row>
    <row r="80" spans="1:12" ht="19.5" customHeight="1" x14ac:dyDescent="0.25">
      <c r="A80" s="186" t="str">
        <f>Datos!B87</f>
        <v>12.2</v>
      </c>
      <c r="B80" s="74" t="str">
        <f t="shared" si="43"/>
        <v>Pintura asfáltica para imprimación de membrana</v>
      </c>
      <c r="C80" s="78"/>
      <c r="D80" s="79" t="str">
        <f t="shared" si="44"/>
        <v>m2</v>
      </c>
      <c r="E80" s="80">
        <f t="shared" si="45"/>
        <v>1346.43</v>
      </c>
      <c r="F80" s="81">
        <f t="shared" si="46"/>
        <v>0</v>
      </c>
      <c r="G80" s="81">
        <f t="shared" si="47"/>
        <v>0</v>
      </c>
      <c r="H80" s="81">
        <f t="shared" si="48"/>
        <v>0</v>
      </c>
      <c r="I80" s="4">
        <f t="shared" si="49"/>
        <v>0</v>
      </c>
      <c r="J80" s="511"/>
      <c r="K80" s="511"/>
      <c r="L80" s="82"/>
    </row>
    <row r="81" spans="1:12" ht="19.5" customHeight="1" x14ac:dyDescent="0.25">
      <c r="A81" s="186" t="str">
        <f>Datos!B88</f>
        <v>12.3</v>
      </c>
      <c r="B81" s="74" t="str">
        <f t="shared" si="43"/>
        <v>Membrana Asfáltica 4mm terminación aluminio gofrado de 40 micrones</v>
      </c>
      <c r="C81" s="78"/>
      <c r="D81" s="79" t="str">
        <f t="shared" si="44"/>
        <v>m2</v>
      </c>
      <c r="E81" s="80">
        <f t="shared" si="45"/>
        <v>1346.43</v>
      </c>
      <c r="F81" s="81">
        <f t="shared" si="46"/>
        <v>0</v>
      </c>
      <c r="G81" s="81">
        <f t="shared" si="47"/>
        <v>0</v>
      </c>
      <c r="H81" s="81">
        <f t="shared" si="48"/>
        <v>0</v>
      </c>
      <c r="I81" s="4">
        <f t="shared" si="49"/>
        <v>0</v>
      </c>
      <c r="J81" s="511"/>
      <c r="K81" s="511"/>
      <c r="L81" s="82"/>
    </row>
    <row r="82" spans="1:12" ht="19.5" customHeight="1" x14ac:dyDescent="0.25">
      <c r="A82" s="559">
        <f>Datos!B89</f>
        <v>13</v>
      </c>
      <c r="B82" s="560" t="str">
        <f t="shared" si="43"/>
        <v>CARPINTERIAS</v>
      </c>
      <c r="C82" s="561"/>
      <c r="D82" s="562"/>
      <c r="E82" s="563"/>
      <c r="F82" s="564"/>
      <c r="G82" s="564"/>
      <c r="H82" s="564"/>
      <c r="I82" s="565"/>
      <c r="J82" s="511"/>
      <c r="K82" s="511"/>
      <c r="L82" s="82"/>
    </row>
    <row r="83" spans="1:12" ht="19.5" customHeight="1" x14ac:dyDescent="0.25">
      <c r="A83" s="186" t="str">
        <f>Datos!B90</f>
        <v>13.1</v>
      </c>
      <c r="B83" s="74" t="str">
        <f t="shared" si="43"/>
        <v>Carpinterías interiores de madera</v>
      </c>
      <c r="C83" s="78"/>
      <c r="D83" s="79" t="str">
        <f t="shared" si="44"/>
        <v>u</v>
      </c>
      <c r="E83" s="80">
        <f t="shared" si="45"/>
        <v>311.99977999999999</v>
      </c>
      <c r="F83" s="81">
        <f t="shared" si="46"/>
        <v>0</v>
      </c>
      <c r="G83" s="81">
        <f t="shared" si="47"/>
        <v>0</v>
      </c>
      <c r="H83" s="81">
        <f t="shared" si="48"/>
        <v>0</v>
      </c>
      <c r="I83" s="4">
        <f t="shared" si="49"/>
        <v>0</v>
      </c>
      <c r="J83" s="511"/>
      <c r="K83" s="511"/>
      <c r="L83" s="82"/>
    </row>
    <row r="84" spans="1:12" ht="19.5" customHeight="1" x14ac:dyDescent="0.25">
      <c r="A84" s="186" t="str">
        <f>Datos!B91</f>
        <v>13.2</v>
      </c>
      <c r="B84" s="74" t="str">
        <f t="shared" ref="B84:B97" si="50">IFERROR(VLOOKUP(A84,Tabla_Datos,2,FALSE),0)</f>
        <v>Puerta de ingreso a vivienda (2.05 x 0.9)</v>
      </c>
      <c r="C84" s="78"/>
      <c r="D84" s="79" t="str">
        <f t="shared" ref="D84:D97" si="51">IFERROR(VLOOKUP(A84,Tabla_Datos,3,FALSE),0)</f>
        <v>u</v>
      </c>
      <c r="E84" s="80">
        <f t="shared" ref="E84:E97" si="52">ROUND(IFERROR(VLOOKUP(A84,Tabla_P1,4,FALSE)*Cant_Viv_P1,0)+IFERROR(VLOOKUP(A84,Tabla_P2,4,FALSE)*Cant_Viv_P2,0)+IFERROR(VLOOKUP(A84,Tabla_P3,4,FALSE)*Cant_Viv_P3,0)+IFERROR(VLOOKUP(A84,Tabla_P4,4,FALSE)*Cant_Viv_P4,0)+IFERROR(VLOOKUP(A84,Tabla_P5,4,FALSE)*Cant_Viv_P5,0)+IFERROR(VLOOKUP(A84,Tabla_P6,4,FALSE)*Cant_Viv_P6,0)+IFERROR(VLOOKUP(A84,Tabla_P7,4,FALSE)*Cant_Viv_P7,0)++IFERROR(VLOOKUP(A84,Tabla_EC,4,FALSE)*EspacioComun,0),5)</f>
        <v>103.99999</v>
      </c>
      <c r="F84" s="81">
        <f t="shared" ref="F84:F97" si="53">IFERROR(VLOOKUP(A84,Tabla_AP,7,FALSE),0)</f>
        <v>0</v>
      </c>
      <c r="G84" s="81">
        <f t="shared" ref="G84:G97" si="54">ROUND(PrecioUnitario(F84,Costo_Financiero,Gastos_Generales,Beneficio,Ingresos_Brutos,IVA_Vivienda),2)</f>
        <v>0</v>
      </c>
      <c r="H84" s="81">
        <f t="shared" ref="H84:H97" si="55">ROUND(E84*G84,2)</f>
        <v>0</v>
      </c>
      <c r="I84" s="4">
        <f t="shared" ref="I84:I97" si="56">IFERROR(H84/Monto_Oferta,0)</f>
        <v>0</v>
      </c>
      <c r="J84" s="511"/>
      <c r="K84" s="511"/>
      <c r="L84" s="82"/>
    </row>
    <row r="85" spans="1:12" ht="19.5" customHeight="1" x14ac:dyDescent="0.25">
      <c r="A85" s="186" t="str">
        <f>Datos!B92</f>
        <v>13.3</v>
      </c>
      <c r="B85" s="74" t="str">
        <f t="shared" si="50"/>
        <v>Ventanas Tipo C02(2,40 x 1,55)</v>
      </c>
      <c r="C85" s="78"/>
      <c r="D85" s="79" t="str">
        <f t="shared" si="51"/>
        <v>u</v>
      </c>
      <c r="E85" s="80">
        <f t="shared" si="52"/>
        <v>103.99999</v>
      </c>
      <c r="F85" s="81">
        <f t="shared" si="53"/>
        <v>0</v>
      </c>
      <c r="G85" s="81">
        <f t="shared" si="54"/>
        <v>0</v>
      </c>
      <c r="H85" s="81">
        <f t="shared" si="55"/>
        <v>0</v>
      </c>
      <c r="I85" s="4">
        <f t="shared" si="56"/>
        <v>0</v>
      </c>
      <c r="J85" s="511"/>
      <c r="K85" s="511"/>
      <c r="L85" s="82"/>
    </row>
    <row r="86" spans="1:12" ht="19.5" customHeight="1" x14ac:dyDescent="0.25">
      <c r="A86" s="186" t="str">
        <f>Datos!B93</f>
        <v>13.4</v>
      </c>
      <c r="B86" s="74" t="str">
        <f t="shared" si="50"/>
        <v>Ventanas Tipo C05 (1,20 x 1,55)</v>
      </c>
      <c r="C86" s="78"/>
      <c r="D86" s="79" t="str">
        <f t="shared" si="51"/>
        <v>u</v>
      </c>
      <c r="E86" s="80">
        <f t="shared" si="52"/>
        <v>258.00002999999998</v>
      </c>
      <c r="F86" s="81">
        <f t="shared" si="53"/>
        <v>0</v>
      </c>
      <c r="G86" s="81">
        <f t="shared" si="54"/>
        <v>0</v>
      </c>
      <c r="H86" s="81">
        <f t="shared" si="55"/>
        <v>0</v>
      </c>
      <c r="I86" s="4">
        <f t="shared" si="56"/>
        <v>0</v>
      </c>
      <c r="J86" s="511"/>
      <c r="K86" s="511"/>
      <c r="L86" s="82"/>
    </row>
    <row r="87" spans="1:12" ht="19.5" customHeight="1" x14ac:dyDescent="0.25">
      <c r="A87" s="559">
        <f>Datos!B94</f>
        <v>14</v>
      </c>
      <c r="B87" s="560" t="str">
        <f t="shared" si="50"/>
        <v>MARMOLERÍA</v>
      </c>
      <c r="C87" s="561"/>
      <c r="D87" s="562"/>
      <c r="E87" s="563"/>
      <c r="F87" s="564"/>
      <c r="G87" s="564"/>
      <c r="H87" s="564"/>
      <c r="I87" s="565"/>
      <c r="J87" s="511"/>
      <c r="K87" s="511"/>
      <c r="L87" s="82"/>
    </row>
    <row r="88" spans="1:12" ht="19.5" customHeight="1" x14ac:dyDescent="0.25">
      <c r="A88" s="186" t="str">
        <f>Datos!B95</f>
        <v>14.1</v>
      </c>
      <c r="B88" s="74" t="str">
        <f t="shared" si="50"/>
        <v>Mesada de cocina en granito</v>
      </c>
      <c r="C88" s="78"/>
      <c r="D88" s="79" t="str">
        <f t="shared" si="51"/>
        <v>m2</v>
      </c>
      <c r="E88" s="80">
        <f t="shared" si="52"/>
        <v>163.69985</v>
      </c>
      <c r="F88" s="81">
        <f t="shared" si="53"/>
        <v>0</v>
      </c>
      <c r="G88" s="81">
        <f t="shared" si="54"/>
        <v>0</v>
      </c>
      <c r="H88" s="81">
        <f t="shared" si="55"/>
        <v>0</v>
      </c>
      <c r="I88" s="4">
        <f t="shared" si="56"/>
        <v>0</v>
      </c>
      <c r="J88" s="511"/>
      <c r="K88" s="511"/>
      <c r="L88" s="82"/>
    </row>
    <row r="89" spans="1:12" ht="19.5" customHeight="1" x14ac:dyDescent="0.25">
      <c r="A89" s="559">
        <f>Datos!B96</f>
        <v>15</v>
      </c>
      <c r="B89" s="560" t="str">
        <f t="shared" si="50"/>
        <v>INSTALACIÓN ELÉCTRICA</v>
      </c>
      <c r="C89" s="561"/>
      <c r="D89" s="562"/>
      <c r="E89" s="563"/>
      <c r="F89" s="564"/>
      <c r="G89" s="564"/>
      <c r="H89" s="564"/>
      <c r="I89" s="565"/>
      <c r="J89" s="511"/>
      <c r="K89" s="511"/>
      <c r="L89" s="82"/>
    </row>
    <row r="90" spans="1:12" ht="19.5" customHeight="1" x14ac:dyDescent="0.25">
      <c r="A90" s="186" t="str">
        <f>Datos!B97</f>
        <v>15.1</v>
      </c>
      <c r="B90" s="74" t="str">
        <f t="shared" si="50"/>
        <v>Instalación eléctrica</v>
      </c>
      <c r="C90" s="78"/>
      <c r="D90" s="79" t="str">
        <f t="shared" si="51"/>
        <v>gl</v>
      </c>
      <c r="E90" s="80">
        <f t="shared" si="52"/>
        <v>103</v>
      </c>
      <c r="F90" s="81">
        <f t="shared" si="53"/>
        <v>0</v>
      </c>
      <c r="G90" s="81">
        <f t="shared" si="54"/>
        <v>0</v>
      </c>
      <c r="H90" s="81">
        <f t="shared" si="55"/>
        <v>0</v>
      </c>
      <c r="I90" s="4">
        <f t="shared" si="56"/>
        <v>0</v>
      </c>
      <c r="J90" s="511"/>
      <c r="K90" s="511"/>
      <c r="L90" s="82"/>
    </row>
    <row r="91" spans="1:12" ht="19.5" customHeight="1" x14ac:dyDescent="0.25">
      <c r="A91" s="186" t="str">
        <f>Datos!B98</f>
        <v>15.2</v>
      </c>
      <c r="B91" s="74" t="str">
        <f t="shared" si="50"/>
        <v>Tablero principal</v>
      </c>
      <c r="C91" s="78"/>
      <c r="D91" s="79" t="str">
        <f t="shared" si="51"/>
        <v>gl</v>
      </c>
      <c r="E91" s="80">
        <f t="shared" si="52"/>
        <v>103</v>
      </c>
      <c r="F91" s="81">
        <f t="shared" si="53"/>
        <v>0</v>
      </c>
      <c r="G91" s="81">
        <f t="shared" si="54"/>
        <v>0</v>
      </c>
      <c r="H91" s="81">
        <f t="shared" si="55"/>
        <v>0</v>
      </c>
      <c r="I91" s="4">
        <f t="shared" si="56"/>
        <v>0</v>
      </c>
      <c r="J91" s="511"/>
      <c r="K91" s="511"/>
      <c r="L91" s="82"/>
    </row>
    <row r="92" spans="1:12" ht="19.5" customHeight="1" x14ac:dyDescent="0.25">
      <c r="A92" s="186" t="str">
        <f>Datos!B99</f>
        <v>15.3</v>
      </c>
      <c r="B92" s="74" t="str">
        <f t="shared" si="50"/>
        <v>Tablero secundarios</v>
      </c>
      <c r="C92" s="78"/>
      <c r="D92" s="79" t="str">
        <f t="shared" si="51"/>
        <v>gl</v>
      </c>
      <c r="E92" s="80">
        <f t="shared" si="52"/>
        <v>103</v>
      </c>
      <c r="F92" s="81">
        <f t="shared" si="53"/>
        <v>0</v>
      </c>
      <c r="G92" s="81">
        <f t="shared" si="54"/>
        <v>0</v>
      </c>
      <c r="H92" s="81">
        <f t="shared" si="55"/>
        <v>0</v>
      </c>
      <c r="I92" s="4">
        <f t="shared" si="56"/>
        <v>0</v>
      </c>
      <c r="J92" s="511"/>
      <c r="K92" s="511"/>
      <c r="L92" s="82"/>
    </row>
    <row r="93" spans="1:12" ht="19.5" customHeight="1" x14ac:dyDescent="0.25">
      <c r="A93" s="186" t="str">
        <f>Datos!B100</f>
        <v>15.4</v>
      </c>
      <c r="B93" s="74" t="str">
        <f t="shared" si="50"/>
        <v>Bocas iluminación UF</v>
      </c>
      <c r="C93" s="78"/>
      <c r="D93" s="79" t="str">
        <f t="shared" si="51"/>
        <v>gl</v>
      </c>
      <c r="E93" s="80">
        <f t="shared" si="52"/>
        <v>103</v>
      </c>
      <c r="F93" s="81">
        <f t="shared" si="53"/>
        <v>0</v>
      </c>
      <c r="G93" s="81">
        <f t="shared" si="54"/>
        <v>0</v>
      </c>
      <c r="H93" s="81">
        <f t="shared" si="55"/>
        <v>0</v>
      </c>
      <c r="I93" s="4">
        <f t="shared" si="56"/>
        <v>0</v>
      </c>
      <c r="J93" s="511"/>
      <c r="K93" s="511"/>
      <c r="L93" s="82"/>
    </row>
    <row r="94" spans="1:12" ht="19.5" customHeight="1" x14ac:dyDescent="0.25">
      <c r="A94" s="186" t="str">
        <f>Datos!B101</f>
        <v>15.5</v>
      </c>
      <c r="B94" s="74" t="str">
        <f t="shared" si="50"/>
        <v>Bocas iluminación Uc</v>
      </c>
      <c r="C94" s="78"/>
      <c r="D94" s="79" t="str">
        <f t="shared" si="51"/>
        <v>gl</v>
      </c>
      <c r="E94" s="80">
        <f t="shared" si="52"/>
        <v>103</v>
      </c>
      <c r="F94" s="81">
        <f t="shared" si="53"/>
        <v>0</v>
      </c>
      <c r="G94" s="81">
        <f t="shared" si="54"/>
        <v>0</v>
      </c>
      <c r="H94" s="81">
        <f t="shared" si="55"/>
        <v>0</v>
      </c>
      <c r="I94" s="4">
        <f t="shared" si="56"/>
        <v>0</v>
      </c>
      <c r="J94" s="511"/>
      <c r="K94" s="511"/>
      <c r="L94" s="82"/>
    </row>
    <row r="95" spans="1:12" ht="19.5" customHeight="1" x14ac:dyDescent="0.25">
      <c r="A95" s="186" t="str">
        <f>Datos!B102</f>
        <v>15.6</v>
      </c>
      <c r="B95" s="74" t="str">
        <f t="shared" si="50"/>
        <v>Boca toma corriente uso común</v>
      </c>
      <c r="C95" s="78"/>
      <c r="D95" s="79" t="str">
        <f t="shared" si="51"/>
        <v>gl</v>
      </c>
      <c r="E95" s="80">
        <f t="shared" si="52"/>
        <v>103</v>
      </c>
      <c r="F95" s="81">
        <f t="shared" si="53"/>
        <v>0</v>
      </c>
      <c r="G95" s="81">
        <f t="shared" si="54"/>
        <v>0</v>
      </c>
      <c r="H95" s="81">
        <f t="shared" si="55"/>
        <v>0</v>
      </c>
      <c r="I95" s="4">
        <f t="shared" si="56"/>
        <v>0</v>
      </c>
      <c r="J95" s="511"/>
      <c r="K95" s="511"/>
      <c r="L95" s="82"/>
    </row>
    <row r="96" spans="1:12" ht="19.5" customHeight="1" x14ac:dyDescent="0.25">
      <c r="A96" s="186" t="str">
        <f>Datos!B103</f>
        <v>15.7</v>
      </c>
      <c r="B96" s="74" t="str">
        <f t="shared" si="50"/>
        <v>Llaves</v>
      </c>
      <c r="C96" s="78"/>
      <c r="D96" s="79" t="str">
        <f t="shared" si="51"/>
        <v>gl</v>
      </c>
      <c r="E96" s="80">
        <f t="shared" si="52"/>
        <v>103</v>
      </c>
      <c r="F96" s="81">
        <f t="shared" si="53"/>
        <v>0</v>
      </c>
      <c r="G96" s="81">
        <f t="shared" si="54"/>
        <v>0</v>
      </c>
      <c r="H96" s="81">
        <f t="shared" si="55"/>
        <v>0</v>
      </c>
      <c r="I96" s="4">
        <f t="shared" si="56"/>
        <v>0</v>
      </c>
      <c r="J96" s="511"/>
      <c r="K96" s="511"/>
      <c r="L96" s="82"/>
    </row>
    <row r="97" spans="1:12" ht="19.5" customHeight="1" x14ac:dyDescent="0.25">
      <c r="A97" s="186" t="str">
        <f>Datos!B104</f>
        <v>15.8</v>
      </c>
      <c r="B97" s="74" t="str">
        <f t="shared" si="50"/>
        <v xml:space="preserve">Boca teléfono, timbre, TV y portero </v>
      </c>
      <c r="C97" s="78"/>
      <c r="D97" s="79" t="str">
        <f t="shared" si="51"/>
        <v>gl</v>
      </c>
      <c r="E97" s="80">
        <f t="shared" si="52"/>
        <v>103</v>
      </c>
      <c r="F97" s="81">
        <f t="shared" si="53"/>
        <v>0</v>
      </c>
      <c r="G97" s="81">
        <f t="shared" si="54"/>
        <v>0</v>
      </c>
      <c r="H97" s="81">
        <f t="shared" si="55"/>
        <v>0</v>
      </c>
      <c r="I97" s="4">
        <f t="shared" si="56"/>
        <v>0</v>
      </c>
      <c r="J97" s="511"/>
      <c r="K97" s="511"/>
      <c r="L97" s="82"/>
    </row>
    <row r="98" spans="1:12" ht="19.5" customHeight="1" x14ac:dyDescent="0.25">
      <c r="A98" s="186" t="str">
        <f>Datos!B105</f>
        <v>15.9</v>
      </c>
      <c r="B98" s="74" t="str">
        <f t="shared" ref="B98:B122" si="57">IFERROR(VLOOKUP(A98,Tabla_Datos,2,FALSE),0)</f>
        <v>Instalacion equipo luz de emergencia en espacios comunes</v>
      </c>
      <c r="C98" s="78"/>
      <c r="D98" s="79" t="str">
        <f t="shared" ref="D98:D122" si="58">IFERROR(VLOOKUP(A98,Tabla_Datos,3,FALSE),0)</f>
        <v>gl</v>
      </c>
      <c r="E98" s="80">
        <f t="shared" ref="E98:E122" si="59">ROUND(IFERROR(VLOOKUP(A98,Tabla_P1,4,FALSE)*Cant_Viv_P1,0)+IFERROR(VLOOKUP(A98,Tabla_P2,4,FALSE)*Cant_Viv_P2,0)+IFERROR(VLOOKUP(A98,Tabla_P3,4,FALSE)*Cant_Viv_P3,0)+IFERROR(VLOOKUP(A98,Tabla_P4,4,FALSE)*Cant_Viv_P4,0)+IFERROR(VLOOKUP(A98,Tabla_P5,4,FALSE)*Cant_Viv_P5,0)+IFERROR(VLOOKUP(A98,Tabla_P6,4,FALSE)*Cant_Viv_P6,0)+IFERROR(VLOOKUP(A98,Tabla_P7,4,FALSE)*Cant_Viv_P7,0)++IFERROR(VLOOKUP(A98,Tabla_EC,4,FALSE)*EspacioComun,0),5)</f>
        <v>103</v>
      </c>
      <c r="F98" s="81">
        <f t="shared" ref="F98:F122" si="60">IFERROR(VLOOKUP(A98,Tabla_AP,7,FALSE),0)</f>
        <v>0</v>
      </c>
      <c r="G98" s="81">
        <f t="shared" ref="G98:G122" si="61">ROUND(PrecioUnitario(F98,Costo_Financiero,Gastos_Generales,Beneficio,Ingresos_Brutos,IVA_Vivienda),2)</f>
        <v>0</v>
      </c>
      <c r="H98" s="81">
        <f t="shared" ref="H98:H122" si="62">ROUND(E98*G98,2)</f>
        <v>0</v>
      </c>
      <c r="I98" s="4">
        <f t="shared" ref="I98:I122" si="63">IFERROR(H98/Monto_Oferta,0)</f>
        <v>0</v>
      </c>
      <c r="J98" s="511"/>
      <c r="K98" s="511"/>
      <c r="L98" s="82"/>
    </row>
    <row r="99" spans="1:12" ht="19.5" customHeight="1" x14ac:dyDescent="0.25">
      <c r="A99" s="186" t="str">
        <f>Datos!B106</f>
        <v>15.10</v>
      </c>
      <c r="B99" s="74" t="str">
        <f t="shared" si="57"/>
        <v>Servicios generales / pat</v>
      </c>
      <c r="C99" s="78"/>
      <c r="D99" s="79" t="str">
        <f t="shared" si="58"/>
        <v>gl</v>
      </c>
      <c r="E99" s="80">
        <f t="shared" si="59"/>
        <v>103</v>
      </c>
      <c r="F99" s="81">
        <f t="shared" si="60"/>
        <v>0</v>
      </c>
      <c r="G99" s="81">
        <f t="shared" si="61"/>
        <v>0</v>
      </c>
      <c r="H99" s="81">
        <f t="shared" si="62"/>
        <v>0</v>
      </c>
      <c r="I99" s="4">
        <f t="shared" si="63"/>
        <v>0</v>
      </c>
      <c r="J99" s="511"/>
      <c r="K99" s="511"/>
      <c r="L99" s="82"/>
    </row>
    <row r="100" spans="1:12" ht="19.5" customHeight="1" x14ac:dyDescent="0.25">
      <c r="A100" s="186" t="str">
        <f>Datos!B107</f>
        <v>15.11</v>
      </c>
      <c r="B100" s="74" t="str">
        <f t="shared" si="57"/>
        <v>Instalación aire acondicionado</v>
      </c>
      <c r="C100" s="78"/>
      <c r="D100" s="79" t="str">
        <f t="shared" si="58"/>
        <v>gl</v>
      </c>
      <c r="E100" s="80">
        <f t="shared" si="59"/>
        <v>103</v>
      </c>
      <c r="F100" s="81">
        <f t="shared" si="60"/>
        <v>0</v>
      </c>
      <c r="G100" s="81">
        <f t="shared" si="61"/>
        <v>0</v>
      </c>
      <c r="H100" s="81">
        <f t="shared" si="62"/>
        <v>0</v>
      </c>
      <c r="I100" s="4">
        <f t="shared" si="63"/>
        <v>0</v>
      </c>
      <c r="J100" s="511"/>
      <c r="K100" s="511"/>
      <c r="L100" s="82"/>
    </row>
    <row r="101" spans="1:12" ht="19.5" customHeight="1" x14ac:dyDescent="0.25">
      <c r="A101" s="186" t="str">
        <f>Datos!B108</f>
        <v>15.12</v>
      </c>
      <c r="B101" s="74" t="str">
        <f t="shared" si="57"/>
        <v xml:space="preserve">Artefactos en locales comunes </v>
      </c>
      <c r="C101" s="78"/>
      <c r="D101" s="79" t="str">
        <f t="shared" si="58"/>
        <v>gl</v>
      </c>
      <c r="E101" s="80">
        <f t="shared" si="59"/>
        <v>103</v>
      </c>
      <c r="F101" s="81">
        <f t="shared" si="60"/>
        <v>0</v>
      </c>
      <c r="G101" s="81">
        <f t="shared" si="61"/>
        <v>0</v>
      </c>
      <c r="H101" s="81">
        <f t="shared" si="62"/>
        <v>0</v>
      </c>
      <c r="I101" s="4">
        <f t="shared" si="63"/>
        <v>0</v>
      </c>
      <c r="J101" s="511"/>
      <c r="K101" s="511"/>
      <c r="L101" s="82"/>
    </row>
    <row r="102" spans="1:12" ht="19.5" customHeight="1" x14ac:dyDescent="0.25">
      <c r="A102" s="186" t="str">
        <f>Datos!B109</f>
        <v>15.13</v>
      </c>
      <c r="B102" s="74" t="str">
        <f t="shared" si="57"/>
        <v>Canalizacion y cableado de comando calefon solar</v>
      </c>
      <c r="C102" s="78"/>
      <c r="D102" s="79" t="str">
        <f t="shared" si="58"/>
        <v>gl</v>
      </c>
      <c r="E102" s="80">
        <f t="shared" si="59"/>
        <v>103</v>
      </c>
      <c r="F102" s="81">
        <f t="shared" si="60"/>
        <v>0</v>
      </c>
      <c r="G102" s="81">
        <f t="shared" si="61"/>
        <v>0</v>
      </c>
      <c r="H102" s="81">
        <f t="shared" si="62"/>
        <v>0</v>
      </c>
      <c r="I102" s="4">
        <f t="shared" si="63"/>
        <v>0</v>
      </c>
      <c r="J102" s="511"/>
      <c r="K102" s="511"/>
      <c r="L102" s="82"/>
    </row>
    <row r="103" spans="1:12" ht="19.5" customHeight="1" x14ac:dyDescent="0.25">
      <c r="A103" s="559">
        <f>Datos!B110</f>
        <v>16</v>
      </c>
      <c r="B103" s="560" t="str">
        <f t="shared" si="57"/>
        <v>INSTALACIÓN SANITARIA</v>
      </c>
      <c r="C103" s="561"/>
      <c r="D103" s="562"/>
      <c r="E103" s="563"/>
      <c r="F103" s="564"/>
      <c r="G103" s="564"/>
      <c r="H103" s="564"/>
      <c r="I103" s="565"/>
      <c r="J103" s="511"/>
      <c r="K103" s="511"/>
      <c r="L103" s="82"/>
    </row>
    <row r="104" spans="1:12" ht="19.5" customHeight="1" x14ac:dyDescent="0.25">
      <c r="A104" s="186" t="str">
        <f>Datos!B111</f>
        <v>16.1</v>
      </c>
      <c r="B104" s="74" t="str">
        <f t="shared" si="57"/>
        <v>Instalación agua fría y caliente</v>
      </c>
      <c r="C104" s="78"/>
      <c r="D104" s="79" t="str">
        <f t="shared" si="58"/>
        <v>gl</v>
      </c>
      <c r="E104" s="80">
        <f t="shared" si="59"/>
        <v>103</v>
      </c>
      <c r="F104" s="81">
        <f t="shared" si="60"/>
        <v>0</v>
      </c>
      <c r="G104" s="81">
        <f t="shared" si="61"/>
        <v>0</v>
      </c>
      <c r="H104" s="81">
        <f t="shared" si="62"/>
        <v>0</v>
      </c>
      <c r="I104" s="4">
        <f t="shared" si="63"/>
        <v>0</v>
      </c>
      <c r="J104" s="511"/>
      <c r="K104" s="511"/>
      <c r="L104" s="82"/>
    </row>
    <row r="105" spans="1:12" ht="19.5" customHeight="1" x14ac:dyDescent="0.25">
      <c r="A105" s="186" t="str">
        <f>Datos!B112</f>
        <v>16.2</v>
      </c>
      <c r="B105" s="74" t="str">
        <f t="shared" si="57"/>
        <v>Desagües Cloacales</v>
      </c>
      <c r="C105" s="78"/>
      <c r="D105" s="79" t="str">
        <f t="shared" si="58"/>
        <v>gl</v>
      </c>
      <c r="E105" s="80">
        <f t="shared" si="59"/>
        <v>103</v>
      </c>
      <c r="F105" s="81">
        <f t="shared" si="60"/>
        <v>0</v>
      </c>
      <c r="G105" s="81">
        <f t="shared" si="61"/>
        <v>0</v>
      </c>
      <c r="H105" s="81">
        <f t="shared" si="62"/>
        <v>0</v>
      </c>
      <c r="I105" s="4">
        <f t="shared" si="63"/>
        <v>0</v>
      </c>
      <c r="J105" s="511"/>
      <c r="K105" s="511"/>
      <c r="L105" s="82"/>
    </row>
    <row r="106" spans="1:12" ht="19.5" customHeight="1" x14ac:dyDescent="0.25">
      <c r="A106" s="186" t="str">
        <f>Datos!B113</f>
        <v>16.3</v>
      </c>
      <c r="B106" s="74" t="str">
        <f t="shared" si="57"/>
        <v>Desagües Pluviales</v>
      </c>
      <c r="C106" s="78"/>
      <c r="D106" s="79" t="str">
        <f t="shared" si="58"/>
        <v>gl</v>
      </c>
      <c r="E106" s="80">
        <f t="shared" si="59"/>
        <v>103</v>
      </c>
      <c r="F106" s="81">
        <f t="shared" si="60"/>
        <v>0</v>
      </c>
      <c r="G106" s="81">
        <f t="shared" si="61"/>
        <v>0</v>
      </c>
      <c r="H106" s="81">
        <f t="shared" si="62"/>
        <v>0</v>
      </c>
      <c r="I106" s="4">
        <f t="shared" si="63"/>
        <v>0</v>
      </c>
      <c r="J106" s="511"/>
      <c r="K106" s="511"/>
      <c r="L106" s="82"/>
    </row>
    <row r="107" spans="1:12" ht="19.5" customHeight="1" x14ac:dyDescent="0.25">
      <c r="A107" s="186" t="str">
        <f>Datos!B114</f>
        <v>16.4</v>
      </c>
      <c r="B107" s="74" t="str">
        <f t="shared" si="57"/>
        <v>Desagüe aire acondicionado</v>
      </c>
      <c r="C107" s="78"/>
      <c r="D107" s="79" t="str">
        <f t="shared" si="58"/>
        <v>gl</v>
      </c>
      <c r="E107" s="80">
        <f t="shared" si="59"/>
        <v>103</v>
      </c>
      <c r="F107" s="81">
        <f t="shared" si="60"/>
        <v>0</v>
      </c>
      <c r="G107" s="81">
        <f t="shared" si="61"/>
        <v>0</v>
      </c>
      <c r="H107" s="81">
        <f t="shared" si="62"/>
        <v>0</v>
      </c>
      <c r="I107" s="4">
        <f t="shared" si="63"/>
        <v>0</v>
      </c>
      <c r="J107" s="511"/>
      <c r="K107" s="511"/>
      <c r="L107" s="82"/>
    </row>
    <row r="108" spans="1:12" ht="19.5" customHeight="1" x14ac:dyDescent="0.25">
      <c r="A108" s="186" t="str">
        <f>Datos!B115</f>
        <v>16.5</v>
      </c>
      <c r="B108" s="74" t="str">
        <f t="shared" si="57"/>
        <v xml:space="preserve">Artefactos sanitarios  </v>
      </c>
      <c r="C108" s="78"/>
      <c r="D108" s="79" t="str">
        <f t="shared" si="58"/>
        <v>gl</v>
      </c>
      <c r="E108" s="80">
        <f t="shared" si="59"/>
        <v>103</v>
      </c>
      <c r="F108" s="81">
        <f t="shared" si="60"/>
        <v>0</v>
      </c>
      <c r="G108" s="81">
        <f t="shared" si="61"/>
        <v>0</v>
      </c>
      <c r="H108" s="81">
        <f t="shared" si="62"/>
        <v>0</v>
      </c>
      <c r="I108" s="4">
        <f t="shared" si="63"/>
        <v>0</v>
      </c>
      <c r="J108" s="511"/>
      <c r="K108" s="511"/>
      <c r="L108" s="82"/>
    </row>
    <row r="109" spans="1:12" ht="19.5" customHeight="1" x14ac:dyDescent="0.25">
      <c r="A109" s="186" t="str">
        <f>Datos!B116</f>
        <v>16.6</v>
      </c>
      <c r="B109" s="74" t="str">
        <f t="shared" si="57"/>
        <v>Griferia de sanitario y cocina</v>
      </c>
      <c r="C109" s="78"/>
      <c r="D109" s="79" t="str">
        <f t="shared" si="58"/>
        <v>gl</v>
      </c>
      <c r="E109" s="80">
        <f t="shared" si="59"/>
        <v>103</v>
      </c>
      <c r="F109" s="81">
        <f t="shared" si="60"/>
        <v>0</v>
      </c>
      <c r="G109" s="81">
        <f t="shared" si="61"/>
        <v>0</v>
      </c>
      <c r="H109" s="81">
        <f t="shared" si="62"/>
        <v>0</v>
      </c>
      <c r="I109" s="4">
        <f t="shared" si="63"/>
        <v>0</v>
      </c>
      <c r="J109" s="511"/>
      <c r="K109" s="511"/>
      <c r="L109" s="82"/>
    </row>
    <row r="110" spans="1:12" ht="19.5" customHeight="1" x14ac:dyDescent="0.25">
      <c r="A110" s="186" t="str">
        <f>Datos!B117</f>
        <v>16.7</v>
      </c>
      <c r="B110" s="74" t="str">
        <f t="shared" si="57"/>
        <v>Accesorios de sanitarios</v>
      </c>
      <c r="C110" s="78"/>
      <c r="D110" s="79" t="str">
        <f t="shared" si="58"/>
        <v>gl</v>
      </c>
      <c r="E110" s="80">
        <f t="shared" si="59"/>
        <v>103</v>
      </c>
      <c r="F110" s="81">
        <f t="shared" si="60"/>
        <v>0</v>
      </c>
      <c r="G110" s="81">
        <f t="shared" si="61"/>
        <v>0</v>
      </c>
      <c r="H110" s="81">
        <f t="shared" si="62"/>
        <v>0</v>
      </c>
      <c r="I110" s="4">
        <f t="shared" si="63"/>
        <v>0</v>
      </c>
      <c r="J110" s="511"/>
      <c r="K110" s="511"/>
      <c r="L110" s="82"/>
    </row>
    <row r="111" spans="1:12" ht="19.5" customHeight="1" x14ac:dyDescent="0.25">
      <c r="A111" s="186" t="str">
        <f>Datos!B118</f>
        <v>16.8</v>
      </c>
      <c r="B111" s="74" t="str">
        <f t="shared" si="57"/>
        <v>Tanque de bombeo (5000 litros)</v>
      </c>
      <c r="C111" s="78"/>
      <c r="D111" s="79" t="str">
        <f t="shared" si="58"/>
        <v>gl</v>
      </c>
      <c r="E111" s="80">
        <f t="shared" si="59"/>
        <v>4.9997299999999996</v>
      </c>
      <c r="F111" s="81">
        <f t="shared" si="60"/>
        <v>0</v>
      </c>
      <c r="G111" s="81">
        <f t="shared" si="61"/>
        <v>0</v>
      </c>
      <c r="H111" s="81">
        <f t="shared" si="62"/>
        <v>0</v>
      </c>
      <c r="I111" s="4">
        <f t="shared" si="63"/>
        <v>0</v>
      </c>
      <c r="J111" s="511"/>
      <c r="K111" s="511"/>
      <c r="L111" s="82"/>
    </row>
    <row r="112" spans="1:12" ht="19.5" customHeight="1" x14ac:dyDescent="0.25">
      <c r="A112" s="186" t="str">
        <f>Datos!B119</f>
        <v>16.9</v>
      </c>
      <c r="B112" s="74" t="str">
        <f t="shared" si="57"/>
        <v xml:space="preserve">Tanque de reserva (5000 litros) </v>
      </c>
      <c r="C112" s="78"/>
      <c r="D112" s="79" t="str">
        <f t="shared" si="58"/>
        <v>gl</v>
      </c>
      <c r="E112" s="80">
        <f t="shared" si="59"/>
        <v>9.0000099999999996</v>
      </c>
      <c r="F112" s="81">
        <f t="shared" si="60"/>
        <v>0</v>
      </c>
      <c r="G112" s="81">
        <f t="shared" si="61"/>
        <v>0</v>
      </c>
      <c r="H112" s="81">
        <f t="shared" si="62"/>
        <v>0</v>
      </c>
      <c r="I112" s="4">
        <f t="shared" si="63"/>
        <v>0</v>
      </c>
      <c r="J112" s="511"/>
      <c r="K112" s="511"/>
      <c r="L112" s="82"/>
    </row>
    <row r="113" spans="1:12" ht="19.5" customHeight="1" x14ac:dyDescent="0.25">
      <c r="A113" s="559">
        <f>Datos!B120</f>
        <v>17</v>
      </c>
      <c r="B113" s="560" t="str">
        <f t="shared" si="57"/>
        <v>INSTALACIÓN CONTRA INCENDIO TOTAL</v>
      </c>
      <c r="C113" s="561"/>
      <c r="D113" s="562"/>
      <c r="E113" s="563"/>
      <c r="F113" s="564"/>
      <c r="G113" s="564"/>
      <c r="H113" s="564"/>
      <c r="I113" s="565"/>
      <c r="J113" s="511"/>
      <c r="K113" s="511"/>
      <c r="L113" s="82"/>
    </row>
    <row r="114" spans="1:12" ht="19.5" customHeight="1" x14ac:dyDescent="0.25">
      <c r="A114" s="186" t="str">
        <f>Datos!B121</f>
        <v>17.1</v>
      </c>
      <c r="B114" s="74" t="str">
        <f t="shared" si="57"/>
        <v>Tanque de reserva   PRFV 5000 LTS</v>
      </c>
      <c r="C114" s="78"/>
      <c r="D114" s="79" t="str">
        <f t="shared" si="58"/>
        <v>u</v>
      </c>
      <c r="E114" s="80">
        <f t="shared" si="59"/>
        <v>6.9999799999999999</v>
      </c>
      <c r="F114" s="81">
        <f t="shared" si="60"/>
        <v>0</v>
      </c>
      <c r="G114" s="81">
        <f t="shared" si="61"/>
        <v>0</v>
      </c>
      <c r="H114" s="81">
        <f t="shared" si="62"/>
        <v>0</v>
      </c>
      <c r="I114" s="4">
        <f t="shared" si="63"/>
        <v>0</v>
      </c>
      <c r="J114" s="511"/>
      <c r="K114" s="511"/>
      <c r="L114" s="82"/>
    </row>
    <row r="115" spans="1:12" ht="19.5" customHeight="1" x14ac:dyDescent="0.25">
      <c r="A115" s="186" t="str">
        <f>Datos!B122</f>
        <v>17.2</v>
      </c>
      <c r="B115" s="74" t="str">
        <f t="shared" si="57"/>
        <v xml:space="preserve">Bomba de 15 hp </v>
      </c>
      <c r="C115" s="78"/>
      <c r="D115" s="79" t="str">
        <f t="shared" si="58"/>
        <v>u</v>
      </c>
      <c r="E115" s="80">
        <f t="shared" si="59"/>
        <v>4.0000099999999996</v>
      </c>
      <c r="F115" s="81">
        <f t="shared" si="60"/>
        <v>0</v>
      </c>
      <c r="G115" s="81">
        <f t="shared" si="61"/>
        <v>0</v>
      </c>
      <c r="H115" s="81">
        <f t="shared" si="62"/>
        <v>0</v>
      </c>
      <c r="I115" s="4">
        <f t="shared" si="63"/>
        <v>0</v>
      </c>
      <c r="J115" s="511"/>
      <c r="K115" s="511"/>
      <c r="L115" s="82"/>
    </row>
    <row r="116" spans="1:12" ht="19.5" customHeight="1" x14ac:dyDescent="0.25">
      <c r="A116" s="186" t="str">
        <f>Datos!B123</f>
        <v>17.3</v>
      </c>
      <c r="B116" s="74" t="str">
        <f t="shared" si="57"/>
        <v>Extintores ABC 5 kg</v>
      </c>
      <c r="C116" s="78"/>
      <c r="D116" s="79" t="str">
        <f t="shared" si="58"/>
        <v>u</v>
      </c>
      <c r="E116" s="80">
        <f t="shared" si="59"/>
        <v>59.999969999999998</v>
      </c>
      <c r="F116" s="81">
        <f t="shared" si="60"/>
        <v>0</v>
      </c>
      <c r="G116" s="81">
        <f t="shared" si="61"/>
        <v>0</v>
      </c>
      <c r="H116" s="81">
        <f t="shared" si="62"/>
        <v>0</v>
      </c>
      <c r="I116" s="4">
        <f t="shared" si="63"/>
        <v>0</v>
      </c>
      <c r="J116" s="511"/>
      <c r="K116" s="511"/>
      <c r="L116" s="82"/>
    </row>
    <row r="117" spans="1:12" ht="19.5" customHeight="1" x14ac:dyDescent="0.25">
      <c r="A117" s="186" t="str">
        <f>Datos!B124</f>
        <v>17.4</v>
      </c>
      <c r="B117" s="74" t="str">
        <f t="shared" si="57"/>
        <v>Hidrantes con caja lanza y martillo</v>
      </c>
      <c r="C117" s="78"/>
      <c r="D117" s="79" t="str">
        <f t="shared" si="58"/>
        <v>u</v>
      </c>
      <c r="E117" s="80">
        <f t="shared" si="59"/>
        <v>33.999969999999998</v>
      </c>
      <c r="F117" s="81">
        <f t="shared" si="60"/>
        <v>0</v>
      </c>
      <c r="G117" s="81">
        <f t="shared" si="61"/>
        <v>0</v>
      </c>
      <c r="H117" s="81">
        <f t="shared" si="62"/>
        <v>0</v>
      </c>
      <c r="I117" s="4">
        <f t="shared" si="63"/>
        <v>0</v>
      </c>
      <c r="J117" s="511"/>
      <c r="K117" s="511"/>
      <c r="L117" s="82"/>
    </row>
    <row r="118" spans="1:12" ht="19.5" customHeight="1" x14ac:dyDescent="0.25">
      <c r="A118" s="186" t="str">
        <f>Datos!B125</f>
        <v>17.5</v>
      </c>
      <c r="B118" s="74" t="str">
        <f t="shared" si="57"/>
        <v>Manguera para incendio diametro 38,long 25 metros</v>
      </c>
      <c r="C118" s="78"/>
      <c r="D118" s="79" t="str">
        <f t="shared" si="58"/>
        <v>u</v>
      </c>
      <c r="E118" s="80">
        <f t="shared" si="59"/>
        <v>33.999969999999998</v>
      </c>
      <c r="F118" s="81">
        <f t="shared" si="60"/>
        <v>0</v>
      </c>
      <c r="G118" s="81">
        <f t="shared" si="61"/>
        <v>0</v>
      </c>
      <c r="H118" s="81">
        <f t="shared" si="62"/>
        <v>0</v>
      </c>
      <c r="I118" s="4">
        <f t="shared" si="63"/>
        <v>0</v>
      </c>
      <c r="J118" s="511"/>
      <c r="K118" s="511"/>
      <c r="L118" s="82"/>
    </row>
    <row r="119" spans="1:12" ht="19.5" customHeight="1" x14ac:dyDescent="0.25">
      <c r="A119" s="186" t="str">
        <f>Datos!B126</f>
        <v>17.6</v>
      </c>
      <c r="B119" s="74" t="str">
        <f t="shared" si="57"/>
        <v xml:space="preserve">Bomba Joker </v>
      </c>
      <c r="C119" s="78"/>
      <c r="D119" s="79" t="str">
        <f t="shared" si="58"/>
        <v>u</v>
      </c>
      <c r="E119" s="80">
        <f t="shared" si="59"/>
        <v>1.99996</v>
      </c>
      <c r="F119" s="81">
        <f t="shared" si="60"/>
        <v>0</v>
      </c>
      <c r="G119" s="81">
        <f t="shared" si="61"/>
        <v>0</v>
      </c>
      <c r="H119" s="81">
        <f t="shared" si="62"/>
        <v>0</v>
      </c>
      <c r="I119" s="4">
        <f t="shared" si="63"/>
        <v>0</v>
      </c>
      <c r="J119" s="511"/>
      <c r="K119" s="511"/>
      <c r="L119" s="82"/>
    </row>
    <row r="120" spans="1:12" ht="19.5" customHeight="1" x14ac:dyDescent="0.25">
      <c r="A120" s="186" t="str">
        <f>Datos!B127</f>
        <v>17.7</v>
      </c>
      <c r="B120" s="74" t="str">
        <f t="shared" si="57"/>
        <v>Luces de Emergencia</v>
      </c>
      <c r="C120" s="78"/>
      <c r="D120" s="79" t="str">
        <f t="shared" si="58"/>
        <v>u</v>
      </c>
      <c r="E120" s="80">
        <f t="shared" si="59"/>
        <v>109.99957999999999</v>
      </c>
      <c r="F120" s="81">
        <f t="shared" si="60"/>
        <v>0</v>
      </c>
      <c r="G120" s="81">
        <f t="shared" si="61"/>
        <v>0</v>
      </c>
      <c r="H120" s="81">
        <f t="shared" si="62"/>
        <v>0</v>
      </c>
      <c r="I120" s="4">
        <f t="shared" si="63"/>
        <v>0</v>
      </c>
      <c r="J120" s="511"/>
      <c r="K120" s="511"/>
      <c r="L120" s="82"/>
    </row>
    <row r="121" spans="1:12" ht="19.5" customHeight="1" x14ac:dyDescent="0.25">
      <c r="A121" s="186" t="str">
        <f>Datos!B128</f>
        <v>17.8</v>
      </c>
      <c r="B121" s="74" t="str">
        <f t="shared" si="57"/>
        <v>Cañeria HG 75 mm</v>
      </c>
      <c r="C121" s="78"/>
      <c r="D121" s="79" t="str">
        <f t="shared" si="58"/>
        <v>ml</v>
      </c>
      <c r="E121" s="80">
        <f t="shared" si="59"/>
        <v>58</v>
      </c>
      <c r="F121" s="81">
        <f t="shared" si="60"/>
        <v>0</v>
      </c>
      <c r="G121" s="81">
        <f t="shared" si="61"/>
        <v>0</v>
      </c>
      <c r="H121" s="81">
        <f t="shared" si="62"/>
        <v>0</v>
      </c>
      <c r="I121" s="4">
        <f t="shared" si="63"/>
        <v>0</v>
      </c>
      <c r="J121" s="511"/>
      <c r="K121" s="511"/>
      <c r="L121" s="82"/>
    </row>
    <row r="122" spans="1:12" ht="19.5" customHeight="1" x14ac:dyDescent="0.25">
      <c r="A122" s="186" t="str">
        <f>Datos!B129</f>
        <v>17.9</v>
      </c>
      <c r="B122" s="74" t="str">
        <f t="shared" si="57"/>
        <v>Cañeria HG 63 mm</v>
      </c>
      <c r="C122" s="78"/>
      <c r="D122" s="79" t="str">
        <f t="shared" si="58"/>
        <v>ml</v>
      </c>
      <c r="E122" s="80">
        <f t="shared" si="59"/>
        <v>177.99999</v>
      </c>
      <c r="F122" s="81">
        <f t="shared" si="60"/>
        <v>0</v>
      </c>
      <c r="G122" s="81">
        <f t="shared" si="61"/>
        <v>0</v>
      </c>
      <c r="H122" s="81">
        <f t="shared" si="62"/>
        <v>0</v>
      </c>
      <c r="I122" s="4">
        <f t="shared" si="63"/>
        <v>0</v>
      </c>
      <c r="J122" s="511"/>
      <c r="K122" s="511"/>
      <c r="L122" s="82"/>
    </row>
    <row r="123" spans="1:12" ht="19.5" customHeight="1" x14ac:dyDescent="0.25">
      <c r="A123" s="186" t="str">
        <f>Datos!B130</f>
        <v>17.10</v>
      </c>
      <c r="B123" s="74" t="str">
        <f t="shared" ref="B123:B133" si="64">IFERROR(VLOOKUP(A123,Tabla_Datos,2,FALSE),0)</f>
        <v>Cañeria HG 50 mm</v>
      </c>
      <c r="C123" s="78"/>
      <c r="D123" s="79" t="str">
        <f t="shared" ref="D123:D133" si="65">IFERROR(VLOOKUP(A123,Tabla_Datos,3,FALSE),0)</f>
        <v>ml</v>
      </c>
      <c r="E123" s="80">
        <f t="shared" ref="E123:E133" si="66">ROUND(IFERROR(VLOOKUP(A123,Tabla_P1,4,FALSE)*Cant_Viv_P1,0)+IFERROR(VLOOKUP(A123,Tabla_P2,4,FALSE)*Cant_Viv_P2,0)+IFERROR(VLOOKUP(A123,Tabla_P3,4,FALSE)*Cant_Viv_P3,0)+IFERROR(VLOOKUP(A123,Tabla_P4,4,FALSE)*Cant_Viv_P4,0)+IFERROR(VLOOKUP(A123,Tabla_P5,4,FALSE)*Cant_Viv_P5,0)+IFERROR(VLOOKUP(A123,Tabla_P6,4,FALSE)*Cant_Viv_P6,0)+IFERROR(VLOOKUP(A123,Tabla_P7,4,FALSE)*Cant_Viv_P7,0)++IFERROR(VLOOKUP(A123,Tabla_EC,4,FALSE)*EspacioComun,0),5)</f>
        <v>79</v>
      </c>
      <c r="F123" s="81">
        <f t="shared" ref="F123:F133" si="67">IFERROR(VLOOKUP(A123,Tabla_AP,7,FALSE),0)</f>
        <v>0</v>
      </c>
      <c r="G123" s="81">
        <f t="shared" ref="G123:G133" si="68">ROUND(PrecioUnitario(F123,Costo_Financiero,Gastos_Generales,Beneficio,Ingresos_Brutos,IVA_Vivienda),2)</f>
        <v>0</v>
      </c>
      <c r="H123" s="81">
        <f t="shared" ref="H123:H133" si="69">ROUND(E123*G123,2)</f>
        <v>0</v>
      </c>
      <c r="I123" s="4">
        <f t="shared" ref="I123:I133" si="70">IFERROR(H123/Monto_Oferta,0)</f>
        <v>0</v>
      </c>
      <c r="J123" s="511"/>
      <c r="K123" s="511"/>
      <c r="L123" s="82"/>
    </row>
    <row r="124" spans="1:12" ht="19.5" customHeight="1" x14ac:dyDescent="0.25">
      <c r="A124" s="186" t="str">
        <f>Datos!B131</f>
        <v>17.11</v>
      </c>
      <c r="B124" s="74" t="str">
        <f t="shared" si="64"/>
        <v>Valvulas Esclusas de bronce dim 45</v>
      </c>
      <c r="C124" s="78"/>
      <c r="D124" s="79" t="str">
        <f t="shared" si="65"/>
        <v>u</v>
      </c>
      <c r="E124" s="80">
        <f t="shared" si="66"/>
        <v>21.99999</v>
      </c>
      <c r="F124" s="81">
        <f t="shared" si="67"/>
        <v>0</v>
      </c>
      <c r="G124" s="81">
        <f t="shared" si="68"/>
        <v>0</v>
      </c>
      <c r="H124" s="81">
        <f t="shared" si="69"/>
        <v>0</v>
      </c>
      <c r="I124" s="4">
        <f t="shared" si="70"/>
        <v>0</v>
      </c>
      <c r="J124" s="511"/>
      <c r="K124" s="511"/>
      <c r="L124" s="82"/>
    </row>
    <row r="125" spans="1:12" ht="19.5" customHeight="1" x14ac:dyDescent="0.25">
      <c r="A125" s="186" t="str">
        <f>Datos!B132</f>
        <v>17.12</v>
      </c>
      <c r="B125" s="74" t="str">
        <f t="shared" si="64"/>
        <v>Valvulas Esclusas de bronce dim 38</v>
      </c>
      <c r="C125" s="78"/>
      <c r="D125" s="79" t="str">
        <f t="shared" si="65"/>
        <v>u</v>
      </c>
      <c r="E125" s="80">
        <f t="shared" si="66"/>
        <v>11.999969999999999</v>
      </c>
      <c r="F125" s="81">
        <f t="shared" si="67"/>
        <v>0</v>
      </c>
      <c r="G125" s="81">
        <f t="shared" si="68"/>
        <v>0</v>
      </c>
      <c r="H125" s="81">
        <f t="shared" si="69"/>
        <v>0</v>
      </c>
      <c r="I125" s="4">
        <f t="shared" si="70"/>
        <v>0</v>
      </c>
      <c r="J125" s="511"/>
      <c r="K125" s="511"/>
      <c r="L125" s="82"/>
    </row>
    <row r="126" spans="1:12" ht="19.5" customHeight="1" x14ac:dyDescent="0.25">
      <c r="A126" s="186" t="str">
        <f>Datos!B133</f>
        <v>17.13</v>
      </c>
      <c r="B126" s="74" t="str">
        <f t="shared" si="64"/>
        <v>Caja de Impulsion con llave esferica de 2" (60x40)</v>
      </c>
      <c r="C126" s="78"/>
      <c r="D126" s="79" t="str">
        <f t="shared" si="65"/>
        <v>u</v>
      </c>
      <c r="E126" s="80">
        <f t="shared" si="66"/>
        <v>0.99999000000000005</v>
      </c>
      <c r="F126" s="81">
        <f t="shared" si="67"/>
        <v>0</v>
      </c>
      <c r="G126" s="81">
        <f t="shared" si="68"/>
        <v>0</v>
      </c>
      <c r="H126" s="81">
        <f t="shared" si="69"/>
        <v>0</v>
      </c>
      <c r="I126" s="4">
        <f t="shared" si="70"/>
        <v>0</v>
      </c>
      <c r="J126" s="511"/>
      <c r="K126" s="511"/>
      <c r="L126" s="82"/>
    </row>
    <row r="127" spans="1:12" ht="19.5" customHeight="1" x14ac:dyDescent="0.25">
      <c r="A127" s="186" t="str">
        <f>Datos!B134</f>
        <v>17.14</v>
      </c>
      <c r="B127" s="74" t="str">
        <f t="shared" si="64"/>
        <v>Tambor con arena de 200 lts</v>
      </c>
      <c r="C127" s="78"/>
      <c r="D127" s="79" t="str">
        <f t="shared" si="65"/>
        <v>u</v>
      </c>
      <c r="E127" s="80">
        <f t="shared" si="66"/>
        <v>4.9996</v>
      </c>
      <c r="F127" s="81">
        <f t="shared" si="67"/>
        <v>0</v>
      </c>
      <c r="G127" s="81">
        <f t="shared" si="68"/>
        <v>0</v>
      </c>
      <c r="H127" s="81">
        <f t="shared" si="69"/>
        <v>0</v>
      </c>
      <c r="I127" s="4">
        <f t="shared" si="70"/>
        <v>0</v>
      </c>
      <c r="J127" s="511"/>
      <c r="K127" s="511"/>
      <c r="L127" s="82"/>
    </row>
    <row r="128" spans="1:12" ht="19.5" customHeight="1" x14ac:dyDescent="0.25">
      <c r="A128" s="559">
        <f>Datos!B135</f>
        <v>18</v>
      </c>
      <c r="B128" s="560" t="str">
        <f t="shared" si="64"/>
        <v>INSTALACION ELECTROMECANICA</v>
      </c>
      <c r="C128" s="561"/>
      <c r="D128" s="562"/>
      <c r="E128" s="563"/>
      <c r="F128" s="564"/>
      <c r="G128" s="564"/>
      <c r="H128" s="564"/>
      <c r="I128" s="565"/>
      <c r="J128" s="511"/>
      <c r="K128" s="511"/>
      <c r="L128" s="82"/>
    </row>
    <row r="129" spans="1:12" ht="19.5" customHeight="1" x14ac:dyDescent="0.25">
      <c r="A129" s="186" t="str">
        <f>Datos!B136</f>
        <v>18.1</v>
      </c>
      <c r="B129" s="74" t="str">
        <f t="shared" si="64"/>
        <v>Instalación electromagnética</v>
      </c>
      <c r="C129" s="78"/>
      <c r="D129" s="79" t="str">
        <f t="shared" si="65"/>
        <v>gl</v>
      </c>
      <c r="E129" s="80">
        <f t="shared" si="66"/>
        <v>2.9999600000000002</v>
      </c>
      <c r="F129" s="81">
        <f t="shared" si="67"/>
        <v>0</v>
      </c>
      <c r="G129" s="81">
        <f t="shared" si="68"/>
        <v>0</v>
      </c>
      <c r="H129" s="81">
        <f t="shared" si="69"/>
        <v>0</v>
      </c>
      <c r="I129" s="4">
        <f t="shared" si="70"/>
        <v>0</v>
      </c>
      <c r="J129" s="511"/>
      <c r="K129" s="511"/>
      <c r="L129" s="82"/>
    </row>
    <row r="130" spans="1:12" ht="19.5" customHeight="1" x14ac:dyDescent="0.25">
      <c r="A130" s="186" t="str">
        <f>Datos!B137</f>
        <v>18.2</v>
      </c>
      <c r="B130" s="74" t="str">
        <f t="shared" si="64"/>
        <v>Ascensor Electromagnetico Cap.450 kg Ancho 1100 x 1300 cm (Torre 9 niveles)</v>
      </c>
      <c r="C130" s="78"/>
      <c r="D130" s="79" t="str">
        <f t="shared" si="65"/>
        <v>u</v>
      </c>
      <c r="E130" s="80">
        <f t="shared" si="66"/>
        <v>0.99997000000000003</v>
      </c>
      <c r="F130" s="81">
        <f t="shared" si="67"/>
        <v>0</v>
      </c>
      <c r="G130" s="81">
        <f t="shared" si="68"/>
        <v>0</v>
      </c>
      <c r="H130" s="81">
        <f t="shared" si="69"/>
        <v>0</v>
      </c>
      <c r="I130" s="4">
        <f t="shared" si="70"/>
        <v>0</v>
      </c>
      <c r="J130" s="511"/>
      <c r="K130" s="511"/>
      <c r="L130" s="82"/>
    </row>
    <row r="131" spans="1:12" ht="19.5" customHeight="1" x14ac:dyDescent="0.25">
      <c r="A131" s="186" t="str">
        <f>Datos!B138</f>
        <v>18.3</v>
      </c>
      <c r="B131" s="74" t="str">
        <f t="shared" ref="B131" si="71">IFERROR(VLOOKUP(A131,Tabla_Datos,2,FALSE),0)</f>
        <v>Ascensor Electromagnetico Cap.450 kg Ancho 1100 x 1300 cm  (Ala 5 niveles)</v>
      </c>
      <c r="C131" s="78"/>
      <c r="D131" s="79" t="str">
        <f t="shared" ref="D131" si="72">IFERROR(VLOOKUP(A131,Tabla_Datos,3,FALSE),0)</f>
        <v>u</v>
      </c>
      <c r="E131" s="80">
        <f t="shared" ref="E131" si="73">ROUND(IFERROR(VLOOKUP(A131,Tabla_P1,4,FALSE)*Cant_Viv_P1,0)+IFERROR(VLOOKUP(A131,Tabla_P2,4,FALSE)*Cant_Viv_P2,0)+IFERROR(VLOOKUP(A131,Tabla_P3,4,FALSE)*Cant_Viv_P3,0)+IFERROR(VLOOKUP(A131,Tabla_P4,4,FALSE)*Cant_Viv_P4,0)+IFERROR(VLOOKUP(A131,Tabla_P5,4,FALSE)*Cant_Viv_P5,0)+IFERROR(VLOOKUP(A131,Tabla_P6,4,FALSE)*Cant_Viv_P6,0)+IFERROR(VLOOKUP(A131,Tabla_P7,4,FALSE)*Cant_Viv_P7,0)++IFERROR(VLOOKUP(A131,Tabla_EC,4,FALSE)*EspacioComun,0),5)</f>
        <v>1.9999800000000001</v>
      </c>
      <c r="F131" s="81">
        <f t="shared" ref="F131" si="74">IFERROR(VLOOKUP(A131,Tabla_AP,7,FALSE),0)</f>
        <v>0</v>
      </c>
      <c r="G131" s="81">
        <f t="shared" ref="G131" si="75">ROUND(PrecioUnitario(F131,Costo_Financiero,Gastos_Generales,Beneficio,Ingresos_Brutos,IVA_Vivienda),2)</f>
        <v>0</v>
      </c>
      <c r="H131" s="81">
        <f t="shared" ref="H131" si="76">ROUND(E131*G131,2)</f>
        <v>0</v>
      </c>
      <c r="I131" s="4">
        <f t="shared" ref="I131" si="77">IFERROR(H131/Monto_Oferta,0)</f>
        <v>0</v>
      </c>
      <c r="J131" s="511"/>
      <c r="K131" s="511"/>
      <c r="L131" s="82"/>
    </row>
    <row r="132" spans="1:12" ht="19.5" customHeight="1" x14ac:dyDescent="0.25">
      <c r="A132" s="559">
        <f>Datos!B139</f>
        <v>19</v>
      </c>
      <c r="B132" s="560" t="str">
        <f t="shared" si="64"/>
        <v>CONDUCTOS Y VENTILACIONES</v>
      </c>
      <c r="C132" s="561"/>
      <c r="D132" s="562"/>
      <c r="E132" s="563"/>
      <c r="F132" s="564"/>
      <c r="G132" s="564"/>
      <c r="H132" s="564"/>
      <c r="I132" s="565"/>
      <c r="J132" s="511"/>
      <c r="K132" s="511"/>
      <c r="L132" s="82"/>
    </row>
    <row r="133" spans="1:12" ht="19.5" customHeight="1" x14ac:dyDescent="0.25">
      <c r="A133" s="186" t="str">
        <f>Datos!B140</f>
        <v>19.1</v>
      </c>
      <c r="B133" s="74" t="str">
        <f t="shared" si="64"/>
        <v>Rejilla ventilación baños</v>
      </c>
      <c r="C133" s="78"/>
      <c r="D133" s="79" t="str">
        <f t="shared" si="65"/>
        <v>u</v>
      </c>
      <c r="E133" s="80">
        <f t="shared" si="66"/>
        <v>70</v>
      </c>
      <c r="F133" s="81">
        <f t="shared" si="67"/>
        <v>0</v>
      </c>
      <c r="G133" s="81">
        <f t="shared" si="68"/>
        <v>0</v>
      </c>
      <c r="H133" s="81">
        <f t="shared" si="69"/>
        <v>0</v>
      </c>
      <c r="I133" s="4">
        <f t="shared" si="70"/>
        <v>0</v>
      </c>
      <c r="J133" s="511"/>
      <c r="K133" s="511"/>
      <c r="L133" s="82"/>
    </row>
    <row r="134" spans="1:12" ht="19.5" customHeight="1" x14ac:dyDescent="0.25">
      <c r="A134" s="552" t="str">
        <f>Datos!B141</f>
        <v>B</v>
      </c>
      <c r="B134" s="553" t="str">
        <f t="shared" ref="B134:B170" si="78">IFERROR(VLOOKUP(A134,Tabla_Datos,2,FALSE),0)</f>
        <v>ESPACIOS COMUNES</v>
      </c>
      <c r="C134" s="554"/>
      <c r="D134" s="555"/>
      <c r="E134" s="556"/>
      <c r="F134" s="557"/>
      <c r="G134" s="557"/>
      <c r="H134" s="557"/>
      <c r="I134" s="558"/>
      <c r="J134" s="511"/>
      <c r="K134" s="511"/>
      <c r="L134" s="82"/>
    </row>
    <row r="135" spans="1:12" ht="19.5" customHeight="1" x14ac:dyDescent="0.25">
      <c r="A135" s="559">
        <f>Datos!B142</f>
        <v>20</v>
      </c>
      <c r="B135" s="560" t="str">
        <f t="shared" si="78"/>
        <v>ESTRUCTURA RESISTENTE</v>
      </c>
      <c r="C135" s="561"/>
      <c r="D135" s="562"/>
      <c r="E135" s="563"/>
      <c r="F135" s="564"/>
      <c r="G135" s="564"/>
      <c r="H135" s="564"/>
      <c r="I135" s="565"/>
      <c r="J135" s="511"/>
      <c r="K135" s="511"/>
      <c r="L135" s="82"/>
    </row>
    <row r="136" spans="1:12" ht="19.5" customHeight="1" x14ac:dyDescent="0.25">
      <c r="A136" s="186" t="str">
        <f>Datos!B143</f>
        <v>20.1</v>
      </c>
      <c r="B136" s="74" t="str">
        <f t="shared" si="78"/>
        <v>Contrapisos de H° A° - Esp. 0,10m. (incluye solo Torre con 9 niveles)</v>
      </c>
      <c r="C136" s="78"/>
      <c r="D136" s="79" t="str">
        <f t="shared" ref="D136:D170" si="79">IFERROR(VLOOKUP(A136,Tabla_Datos,3,FALSE),0)</f>
        <v>m2</v>
      </c>
      <c r="E136" s="80">
        <f t="shared" ref="E136:E171" si="80">ROUND(IFERROR(VLOOKUP(A136,Tabla_P1,4,FALSE)*Cant_Viv_P1,0)+IFERROR(VLOOKUP(A136,Tabla_P2,4,FALSE)*Cant_Viv_P2,0)+IFERROR(VLOOKUP(A136,Tabla_P3,4,FALSE)*Cant_Viv_P3,0)+IFERROR(VLOOKUP(A136,Tabla_P4,4,FALSE)*Cant_Viv_P4,0)+IFERROR(VLOOKUP(A136,Tabla_P5,4,FALSE)*Cant_Viv_P5,0)+IFERROR(VLOOKUP(A136,Tabla_P6,4,FALSE)*Cant_Viv_P6,0)+IFERROR(VLOOKUP(A136,Tabla_P7,4,FALSE)*Cant_Viv_P7,0)+IFERROR(VLOOKUP(A136,Tabla_EC,4,FALSE)*EspacioComun,0)+IFERROR(VLOOKUP(A136,Tabla_EC2,4,FALSE)*EspacioComun_Alas,0),5)</f>
        <v>668</v>
      </c>
      <c r="F136" s="81">
        <f t="shared" ref="F136:F170" si="81">IFERROR(VLOOKUP(A136,Tabla_AP,7,FALSE),0)</f>
        <v>0</v>
      </c>
      <c r="G136" s="81">
        <f t="shared" ref="G136:G170" si="82">ROUND(PrecioUnitario(F136,Costo_Financiero,Gastos_Generales,Beneficio,Ingresos_Brutos,IVA_Vivienda),2)</f>
        <v>0</v>
      </c>
      <c r="H136" s="81">
        <f t="shared" ref="H136:H170" si="83">ROUND(E136*G136,2)</f>
        <v>0</v>
      </c>
      <c r="I136" s="4">
        <f t="shared" ref="I136:I170" si="84">IFERROR(H136/Monto_Oferta,0)</f>
        <v>0</v>
      </c>
      <c r="J136" s="511"/>
      <c r="K136" s="511"/>
      <c r="L136" s="82"/>
    </row>
    <row r="137" spans="1:12" ht="19.5" customHeight="1" x14ac:dyDescent="0.25">
      <c r="A137" s="186" t="str">
        <f>Datos!B144</f>
        <v>20.2</v>
      </c>
      <c r="B137" s="74" t="str">
        <f t="shared" si="78"/>
        <v>Contrapisos de H° A° - Esp. 0,10m. (incluye Estacionamientos, Sala de Máquinas y Bombeo en Subsuelo)</v>
      </c>
      <c r="C137" s="78"/>
      <c r="D137" s="79" t="str">
        <f t="shared" si="79"/>
        <v>m2</v>
      </c>
      <c r="E137" s="80">
        <f t="shared" si="80"/>
        <v>2043</v>
      </c>
      <c r="F137" s="81">
        <f t="shared" si="81"/>
        <v>0</v>
      </c>
      <c r="G137" s="81">
        <f t="shared" si="82"/>
        <v>0</v>
      </c>
      <c r="H137" s="81">
        <f t="shared" si="83"/>
        <v>0</v>
      </c>
      <c r="I137" s="4">
        <f t="shared" si="84"/>
        <v>0</v>
      </c>
      <c r="J137" s="511"/>
      <c r="K137" s="511"/>
      <c r="L137" s="82"/>
    </row>
    <row r="138" spans="1:12" ht="19.5" customHeight="1" x14ac:dyDescent="0.25">
      <c r="A138" s="186" t="str">
        <f>Datos!B145</f>
        <v>20.3</v>
      </c>
      <c r="B138" s="74" t="str">
        <f t="shared" si="78"/>
        <v>Contrapisos de H° A° - Esp. 0,10m. (incluye solo Bloque Sur y Bloque Oeste con 5 niveles)</v>
      </c>
      <c r="C138" s="78"/>
      <c r="D138" s="79" t="str">
        <f t="shared" si="79"/>
        <v>m2</v>
      </c>
      <c r="E138" s="80">
        <f t="shared" si="80"/>
        <v>839</v>
      </c>
      <c r="F138" s="81">
        <f t="shared" si="81"/>
        <v>0</v>
      </c>
      <c r="G138" s="81">
        <f t="shared" si="82"/>
        <v>0</v>
      </c>
      <c r="H138" s="81">
        <f t="shared" si="83"/>
        <v>0</v>
      </c>
      <c r="I138" s="4">
        <f t="shared" si="84"/>
        <v>0</v>
      </c>
      <c r="J138" s="511"/>
      <c r="K138" s="511"/>
      <c r="L138" s="82"/>
    </row>
    <row r="139" spans="1:12" ht="19.5" customHeight="1" x14ac:dyDescent="0.25">
      <c r="A139" s="186" t="str">
        <f>Datos!B146</f>
        <v>20.4</v>
      </c>
      <c r="B139" s="74" t="str">
        <f t="shared" si="78"/>
        <v>Escalera de H° A° (incluye solo Torre con 9 niveles)</v>
      </c>
      <c r="C139" s="78"/>
      <c r="D139" s="79" t="str">
        <f t="shared" si="79"/>
        <v>m2</v>
      </c>
      <c r="E139" s="80">
        <f t="shared" si="80"/>
        <v>215.67</v>
      </c>
      <c r="F139" s="81">
        <f t="shared" si="81"/>
        <v>0</v>
      </c>
      <c r="G139" s="81">
        <f t="shared" si="82"/>
        <v>0</v>
      </c>
      <c r="H139" s="81">
        <f t="shared" si="83"/>
        <v>0</v>
      </c>
      <c r="I139" s="4">
        <f t="shared" si="84"/>
        <v>0</v>
      </c>
      <c r="J139" s="511"/>
      <c r="K139" s="511"/>
      <c r="L139" s="82"/>
    </row>
    <row r="140" spans="1:12" ht="19.5" customHeight="1" x14ac:dyDescent="0.25">
      <c r="A140" s="186" t="str">
        <f>Datos!B147</f>
        <v>20.5</v>
      </c>
      <c r="B140" s="74" t="str">
        <f t="shared" si="78"/>
        <v>Escalera de H° A° (incluye solo Bloque Sur y Bloque Oeste con 5 niveles)</v>
      </c>
      <c r="C140" s="78"/>
      <c r="D140" s="79" t="str">
        <f t="shared" si="79"/>
        <v>m2</v>
      </c>
      <c r="E140" s="80">
        <f t="shared" si="80"/>
        <v>110.28</v>
      </c>
      <c r="F140" s="81">
        <f t="shared" si="81"/>
        <v>0</v>
      </c>
      <c r="G140" s="81">
        <f t="shared" si="82"/>
        <v>0</v>
      </c>
      <c r="H140" s="81">
        <f t="shared" si="83"/>
        <v>0</v>
      </c>
      <c r="I140" s="4">
        <f t="shared" si="84"/>
        <v>0</v>
      </c>
      <c r="J140" s="511"/>
      <c r="K140" s="511"/>
      <c r="L140" s="82"/>
    </row>
    <row r="141" spans="1:12" ht="19.5" customHeight="1" x14ac:dyDescent="0.25">
      <c r="A141" s="186" t="str">
        <f>Datos!B148</f>
        <v>20.6</v>
      </c>
      <c r="B141" s="74" t="str">
        <f t="shared" si="78"/>
        <v>Pisos</v>
      </c>
      <c r="C141" s="78"/>
      <c r="D141" s="79" t="str">
        <f t="shared" si="79"/>
        <v>m2</v>
      </c>
      <c r="E141" s="80">
        <f t="shared" si="80"/>
        <v>1187.4100000000001</v>
      </c>
      <c r="F141" s="81">
        <f t="shared" si="81"/>
        <v>0</v>
      </c>
      <c r="G141" s="81">
        <f t="shared" si="82"/>
        <v>0</v>
      </c>
      <c r="H141" s="81">
        <f t="shared" si="83"/>
        <v>0</v>
      </c>
      <c r="I141" s="4">
        <f t="shared" si="84"/>
        <v>0</v>
      </c>
      <c r="J141" s="511"/>
      <c r="K141" s="511"/>
      <c r="L141" s="82"/>
    </row>
    <row r="142" spans="1:12" ht="19.5" customHeight="1" x14ac:dyDescent="0.25">
      <c r="A142" s="186" t="str">
        <f>Datos!B149</f>
        <v>20.7</v>
      </c>
      <c r="B142" s="74" t="str">
        <f t="shared" si="78"/>
        <v>Areas verdes (gramineas) en panes (incluye todo los espacios verdes del predio Planta Baja y Subsuelo)</v>
      </c>
      <c r="C142" s="78"/>
      <c r="D142" s="79" t="str">
        <f t="shared" si="79"/>
        <v>m2</v>
      </c>
      <c r="E142" s="80">
        <f t="shared" si="80"/>
        <v>947.4</v>
      </c>
      <c r="F142" s="81">
        <f t="shared" si="81"/>
        <v>0</v>
      </c>
      <c r="G142" s="81">
        <f t="shared" si="82"/>
        <v>0</v>
      </c>
      <c r="H142" s="81">
        <f t="shared" si="83"/>
        <v>0</v>
      </c>
      <c r="I142" s="4">
        <f t="shared" si="84"/>
        <v>0</v>
      </c>
      <c r="J142" s="511"/>
      <c r="K142" s="511"/>
      <c r="L142" s="82"/>
    </row>
    <row r="143" spans="1:12" ht="19.5" customHeight="1" x14ac:dyDescent="0.25">
      <c r="A143" s="186" t="str">
        <f>Datos!B150</f>
        <v>20.8</v>
      </c>
      <c r="B143" s="74" t="str">
        <f t="shared" si="78"/>
        <v>Especies arbóreas (incluyen todas las que se encuentran en el predio Planta Baja y Subsuelo)</v>
      </c>
      <c r="C143" s="78"/>
      <c r="D143" s="79" t="str">
        <f t="shared" si="79"/>
        <v>u</v>
      </c>
      <c r="E143" s="80">
        <f t="shared" si="80"/>
        <v>11</v>
      </c>
      <c r="F143" s="81">
        <f t="shared" si="81"/>
        <v>0</v>
      </c>
      <c r="G143" s="81">
        <f t="shared" si="82"/>
        <v>0</v>
      </c>
      <c r="H143" s="81">
        <f t="shared" si="83"/>
        <v>0</v>
      </c>
      <c r="I143" s="4">
        <f t="shared" si="84"/>
        <v>0</v>
      </c>
      <c r="J143" s="511"/>
      <c r="K143" s="511"/>
      <c r="L143" s="82"/>
    </row>
    <row r="144" spans="1:12" ht="19.5" customHeight="1" x14ac:dyDescent="0.25">
      <c r="A144" s="186" t="str">
        <f>Datos!B151</f>
        <v>20.9</v>
      </c>
      <c r="B144" s="74" t="str">
        <f t="shared" si="78"/>
        <v>Rampas Vehiculares (Planta Baja-Subsuelo)</v>
      </c>
      <c r="C144" s="78"/>
      <c r="D144" s="79" t="str">
        <f t="shared" si="79"/>
        <v>m2</v>
      </c>
      <c r="E144" s="80">
        <f t="shared" si="80"/>
        <v>148.94999999999999</v>
      </c>
      <c r="F144" s="81">
        <f t="shared" si="81"/>
        <v>0</v>
      </c>
      <c r="G144" s="81">
        <f t="shared" si="82"/>
        <v>0</v>
      </c>
      <c r="H144" s="81">
        <f t="shared" si="83"/>
        <v>0</v>
      </c>
      <c r="I144" s="4">
        <f t="shared" si="84"/>
        <v>0</v>
      </c>
      <c r="J144" s="511"/>
      <c r="K144" s="511"/>
      <c r="L144" s="82"/>
    </row>
    <row r="145" spans="1:12" ht="19.5" customHeight="1" x14ac:dyDescent="0.25">
      <c r="A145" s="186" t="str">
        <f>Datos!B152</f>
        <v>20.10</v>
      </c>
      <c r="B145" s="74" t="str">
        <f t="shared" si="78"/>
        <v>Rampas Peatonales (Planta Baja)</v>
      </c>
      <c r="C145" s="78"/>
      <c r="D145" s="79" t="str">
        <f t="shared" si="79"/>
        <v>m2</v>
      </c>
      <c r="E145" s="80">
        <f t="shared" si="80"/>
        <v>107.04</v>
      </c>
      <c r="F145" s="81">
        <f t="shared" si="81"/>
        <v>0</v>
      </c>
      <c r="G145" s="81">
        <f t="shared" si="82"/>
        <v>0</v>
      </c>
      <c r="H145" s="81">
        <f t="shared" si="83"/>
        <v>0</v>
      </c>
      <c r="I145" s="4">
        <f t="shared" si="84"/>
        <v>0</v>
      </c>
      <c r="J145" s="511"/>
      <c r="K145" s="511"/>
      <c r="L145" s="82"/>
    </row>
    <row r="146" spans="1:12" ht="19.5" customHeight="1" x14ac:dyDescent="0.25">
      <c r="A146" s="186" t="str">
        <f>Datos!B153</f>
        <v>20.11</v>
      </c>
      <c r="B146" s="74" t="str">
        <f t="shared" si="78"/>
        <v>Pisos de hormigón llaneado y rodillado (Senderos) (incluye en todo el predio de Planta Baja)</v>
      </c>
      <c r="C146" s="78"/>
      <c r="D146" s="79" t="str">
        <f t="shared" si="79"/>
        <v>m2</v>
      </c>
      <c r="E146" s="80">
        <f t="shared" si="80"/>
        <v>945.21</v>
      </c>
      <c r="F146" s="81">
        <f t="shared" si="81"/>
        <v>0</v>
      </c>
      <c r="G146" s="81">
        <f t="shared" si="82"/>
        <v>0</v>
      </c>
      <c r="H146" s="81">
        <f t="shared" si="83"/>
        <v>0</v>
      </c>
      <c r="I146" s="4">
        <f t="shared" si="84"/>
        <v>0</v>
      </c>
      <c r="J146" s="511"/>
      <c r="K146" s="511"/>
      <c r="L146" s="82"/>
    </row>
    <row r="147" spans="1:12" ht="19.5" customHeight="1" x14ac:dyDescent="0.25">
      <c r="A147" s="186" t="str">
        <f>Datos!B154</f>
        <v>20.12</v>
      </c>
      <c r="B147" s="74" t="str">
        <f t="shared" si="78"/>
        <v>Barandas metálicas en escaleras, rampas peatonales, balcones y pasillos</v>
      </c>
      <c r="C147" s="78"/>
      <c r="D147" s="79" t="str">
        <f t="shared" si="79"/>
        <v>ml</v>
      </c>
      <c r="E147" s="80">
        <f t="shared" si="80"/>
        <v>856.5</v>
      </c>
      <c r="F147" s="81">
        <f t="shared" si="81"/>
        <v>0</v>
      </c>
      <c r="G147" s="81">
        <f t="shared" si="82"/>
        <v>0</v>
      </c>
      <c r="H147" s="81">
        <f t="shared" si="83"/>
        <v>0</v>
      </c>
      <c r="I147" s="4">
        <f t="shared" si="84"/>
        <v>0</v>
      </c>
      <c r="J147" s="511"/>
      <c r="K147" s="511"/>
      <c r="L147" s="82"/>
    </row>
    <row r="148" spans="1:12" ht="19.5" customHeight="1" x14ac:dyDescent="0.25">
      <c r="A148" s="186" t="str">
        <f>Datos!B155</f>
        <v>20.13</v>
      </c>
      <c r="B148" s="74" t="str">
        <f t="shared" si="78"/>
        <v>Cajas de Escalera y Ascensor (Torre 9 niveles)</v>
      </c>
      <c r="C148" s="78"/>
      <c r="D148" s="79" t="str">
        <f t="shared" si="79"/>
        <v>u</v>
      </c>
      <c r="E148" s="80">
        <f t="shared" si="80"/>
        <v>1</v>
      </c>
      <c r="F148" s="81">
        <f t="shared" si="81"/>
        <v>0</v>
      </c>
      <c r="G148" s="81">
        <f t="shared" si="82"/>
        <v>0</v>
      </c>
      <c r="H148" s="81">
        <f t="shared" si="83"/>
        <v>0</v>
      </c>
      <c r="I148" s="4">
        <f t="shared" si="84"/>
        <v>0</v>
      </c>
      <c r="J148" s="511"/>
      <c r="K148" s="511"/>
      <c r="L148" s="82"/>
    </row>
    <row r="149" spans="1:12" ht="19.5" customHeight="1" x14ac:dyDescent="0.25">
      <c r="A149" s="186" t="str">
        <f>Datos!B157</f>
        <v>20.15</v>
      </c>
      <c r="B149" s="74" t="str">
        <f t="shared" si="78"/>
        <v>Bancos en espacios verdes (H° A° y listones de madera)</v>
      </c>
      <c r="C149" s="78"/>
      <c r="D149" s="79" t="str">
        <f t="shared" si="79"/>
        <v>ml</v>
      </c>
      <c r="E149" s="80">
        <f t="shared" si="80"/>
        <v>4.3499999999999996</v>
      </c>
      <c r="F149" s="81">
        <f t="shared" si="81"/>
        <v>0</v>
      </c>
      <c r="G149" s="81">
        <f t="shared" si="82"/>
        <v>0</v>
      </c>
      <c r="H149" s="81">
        <f t="shared" si="83"/>
        <v>0</v>
      </c>
      <c r="I149" s="4">
        <f t="shared" si="84"/>
        <v>0</v>
      </c>
      <c r="J149" s="511"/>
      <c r="K149" s="511"/>
      <c r="L149" s="82"/>
    </row>
    <row r="150" spans="1:12" ht="19.5" customHeight="1" x14ac:dyDescent="0.25">
      <c r="A150" s="559">
        <f>Datos!B158</f>
        <v>21</v>
      </c>
      <c r="B150" s="560" t="str">
        <f t="shared" si="78"/>
        <v>ESPACIOS COMUNES - INSTALACION ELECTRICA</v>
      </c>
      <c r="C150" s="561"/>
      <c r="D150" s="562"/>
      <c r="E150" s="563"/>
      <c r="F150" s="564"/>
      <c r="G150" s="564"/>
      <c r="H150" s="564"/>
      <c r="I150" s="565"/>
      <c r="J150" s="511"/>
      <c r="K150" s="511"/>
      <c r="L150" s="82"/>
    </row>
    <row r="151" spans="1:12" ht="19.5" customHeight="1" x14ac:dyDescent="0.25">
      <c r="A151" s="186" t="str">
        <f>Datos!B159</f>
        <v>21.1</v>
      </c>
      <c r="B151" s="74" t="str">
        <f t="shared" si="78"/>
        <v>Instalación eléctrica (Cableado)</v>
      </c>
      <c r="C151" s="78"/>
      <c r="D151" s="79" t="str">
        <f t="shared" si="79"/>
        <v>ml</v>
      </c>
      <c r="E151" s="80">
        <f t="shared" si="80"/>
        <v>7000</v>
      </c>
      <c r="F151" s="81">
        <f t="shared" si="81"/>
        <v>0</v>
      </c>
      <c r="G151" s="81">
        <f t="shared" si="82"/>
        <v>0</v>
      </c>
      <c r="H151" s="81">
        <f t="shared" si="83"/>
        <v>0</v>
      </c>
      <c r="I151" s="4">
        <f t="shared" si="84"/>
        <v>0</v>
      </c>
      <c r="J151" s="511"/>
      <c r="K151" s="511"/>
      <c r="L151" s="82"/>
    </row>
    <row r="152" spans="1:12" ht="19.5" customHeight="1" x14ac:dyDescent="0.25">
      <c r="A152" s="186" t="str">
        <f>Datos!B160</f>
        <v>21.2</v>
      </c>
      <c r="B152" s="74" t="str">
        <f t="shared" si="78"/>
        <v>Alimentación en baja tensión (Conexión a red, medidor y pilar reglam.)</v>
      </c>
      <c r="C152" s="78"/>
      <c r="D152" s="79" t="str">
        <f t="shared" si="79"/>
        <v>u</v>
      </c>
      <c r="E152" s="80">
        <f t="shared" si="80"/>
        <v>2</v>
      </c>
      <c r="F152" s="81">
        <f t="shared" si="81"/>
        <v>0</v>
      </c>
      <c r="G152" s="81">
        <f t="shared" si="82"/>
        <v>0</v>
      </c>
      <c r="H152" s="81">
        <f t="shared" si="83"/>
        <v>0</v>
      </c>
      <c r="I152" s="4">
        <f t="shared" si="84"/>
        <v>0</v>
      </c>
      <c r="J152" s="511"/>
      <c r="K152" s="511"/>
      <c r="L152" s="82"/>
    </row>
    <row r="153" spans="1:12" ht="19.5" customHeight="1" x14ac:dyDescent="0.25">
      <c r="A153" s="186" t="str">
        <f>Datos!B161</f>
        <v>21.3</v>
      </c>
      <c r="B153" s="74" t="str">
        <f t="shared" si="78"/>
        <v>Tablero principal</v>
      </c>
      <c r="C153" s="78"/>
      <c r="D153" s="79" t="str">
        <f t="shared" si="79"/>
        <v>u</v>
      </c>
      <c r="E153" s="80">
        <f t="shared" si="80"/>
        <v>16</v>
      </c>
      <c r="F153" s="81">
        <f t="shared" si="81"/>
        <v>0</v>
      </c>
      <c r="G153" s="81">
        <f t="shared" si="82"/>
        <v>0</v>
      </c>
      <c r="H153" s="81">
        <f t="shared" si="83"/>
        <v>0</v>
      </c>
      <c r="I153" s="4">
        <f t="shared" si="84"/>
        <v>0</v>
      </c>
      <c r="J153" s="511"/>
      <c r="K153" s="511"/>
      <c r="L153" s="82"/>
    </row>
    <row r="154" spans="1:12" ht="19.5" customHeight="1" x14ac:dyDescent="0.25">
      <c r="A154" s="186" t="str">
        <f>Datos!B162</f>
        <v>21.4</v>
      </c>
      <c r="B154" s="74" t="str">
        <f t="shared" si="78"/>
        <v>Bocas iluminación espacio comun</v>
      </c>
      <c r="C154" s="78"/>
      <c r="D154" s="79" t="str">
        <f t="shared" si="79"/>
        <v>u</v>
      </c>
      <c r="E154" s="80">
        <f t="shared" si="80"/>
        <v>444</v>
      </c>
      <c r="F154" s="81">
        <f t="shared" si="81"/>
        <v>0</v>
      </c>
      <c r="G154" s="81">
        <f t="shared" si="82"/>
        <v>0</v>
      </c>
      <c r="H154" s="81">
        <f t="shared" si="83"/>
        <v>0</v>
      </c>
      <c r="I154" s="4">
        <f t="shared" si="84"/>
        <v>0</v>
      </c>
      <c r="J154" s="511"/>
      <c r="K154" s="511"/>
      <c r="L154" s="82"/>
    </row>
    <row r="155" spans="1:12" ht="19.5" customHeight="1" x14ac:dyDescent="0.25">
      <c r="A155" s="186" t="str">
        <f>Datos!B163</f>
        <v>21.5</v>
      </c>
      <c r="B155" s="74" t="str">
        <f t="shared" si="78"/>
        <v>Boca iluminacion espacio verde</v>
      </c>
      <c r="C155" s="78"/>
      <c r="D155" s="79" t="str">
        <f t="shared" si="79"/>
        <v>u</v>
      </c>
      <c r="E155" s="80">
        <f t="shared" si="80"/>
        <v>88</v>
      </c>
      <c r="F155" s="81">
        <f t="shared" si="81"/>
        <v>0</v>
      </c>
      <c r="G155" s="81">
        <f t="shared" si="82"/>
        <v>0</v>
      </c>
      <c r="H155" s="81">
        <f t="shared" si="83"/>
        <v>0</v>
      </c>
      <c r="I155" s="4">
        <f t="shared" si="84"/>
        <v>0</v>
      </c>
      <c r="J155" s="511"/>
      <c r="K155" s="511"/>
      <c r="L155" s="82"/>
    </row>
    <row r="156" spans="1:12" ht="19.5" customHeight="1" x14ac:dyDescent="0.25">
      <c r="A156" s="186" t="str">
        <f>Datos!B164</f>
        <v>21.6</v>
      </c>
      <c r="B156" s="74" t="str">
        <f t="shared" si="78"/>
        <v>Cañerias</v>
      </c>
      <c r="C156" s="78"/>
      <c r="D156" s="79" t="str">
        <f t="shared" si="79"/>
        <v>u</v>
      </c>
      <c r="E156" s="80">
        <f t="shared" si="80"/>
        <v>2240</v>
      </c>
      <c r="F156" s="81">
        <f t="shared" si="81"/>
        <v>0</v>
      </c>
      <c r="G156" s="81">
        <f t="shared" si="82"/>
        <v>0</v>
      </c>
      <c r="H156" s="81">
        <f t="shared" si="83"/>
        <v>0</v>
      </c>
      <c r="I156" s="4">
        <f t="shared" si="84"/>
        <v>0</v>
      </c>
      <c r="J156" s="511"/>
      <c r="K156" s="511"/>
      <c r="L156" s="82"/>
    </row>
    <row r="157" spans="1:12" ht="19.5" customHeight="1" x14ac:dyDescent="0.25">
      <c r="A157" s="186" t="str">
        <f>Datos!B165</f>
        <v>21.7</v>
      </c>
      <c r="B157" s="74" t="str">
        <f t="shared" si="78"/>
        <v>Conectores y uniones</v>
      </c>
      <c r="C157" s="78"/>
      <c r="D157" s="79" t="str">
        <f t="shared" si="79"/>
        <v>u</v>
      </c>
      <c r="E157" s="80">
        <f t="shared" si="80"/>
        <v>1000</v>
      </c>
      <c r="F157" s="81">
        <f t="shared" si="81"/>
        <v>0</v>
      </c>
      <c r="G157" s="81">
        <f t="shared" si="82"/>
        <v>0</v>
      </c>
      <c r="H157" s="81">
        <f t="shared" si="83"/>
        <v>0</v>
      </c>
      <c r="I157" s="4">
        <f t="shared" si="84"/>
        <v>0</v>
      </c>
      <c r="J157" s="511"/>
      <c r="K157" s="511"/>
      <c r="L157" s="82"/>
    </row>
    <row r="158" spans="1:12" ht="19.5" customHeight="1" x14ac:dyDescent="0.25">
      <c r="A158" s="186" t="str">
        <f>Datos!B166</f>
        <v>21.8</v>
      </c>
      <c r="B158" s="74" t="str">
        <f t="shared" si="78"/>
        <v>Subterraneo</v>
      </c>
      <c r="C158" s="78"/>
      <c r="D158" s="79" t="str">
        <f t="shared" si="79"/>
        <v>u</v>
      </c>
      <c r="E158" s="80">
        <f t="shared" si="80"/>
        <v>600</v>
      </c>
      <c r="F158" s="81">
        <f t="shared" si="81"/>
        <v>0</v>
      </c>
      <c r="G158" s="81">
        <f t="shared" si="82"/>
        <v>0</v>
      </c>
      <c r="H158" s="81">
        <f t="shared" si="83"/>
        <v>0</v>
      </c>
      <c r="I158" s="4">
        <f t="shared" si="84"/>
        <v>0</v>
      </c>
      <c r="J158" s="511"/>
      <c r="K158" s="511"/>
      <c r="L158" s="82"/>
    </row>
    <row r="159" spans="1:12" ht="19.5" customHeight="1" x14ac:dyDescent="0.25">
      <c r="A159" s="186" t="str">
        <f>Datos!B167</f>
        <v>21.9</v>
      </c>
      <c r="B159" s="74" t="str">
        <f t="shared" si="78"/>
        <v>Subestaciones (Torre)</v>
      </c>
      <c r="C159" s="78"/>
      <c r="D159" s="79" t="str">
        <f t="shared" si="79"/>
        <v>u</v>
      </c>
      <c r="E159" s="80">
        <f t="shared" si="80"/>
        <v>2</v>
      </c>
      <c r="F159" s="81">
        <f t="shared" si="81"/>
        <v>0</v>
      </c>
      <c r="G159" s="81">
        <f t="shared" si="82"/>
        <v>0</v>
      </c>
      <c r="H159" s="81">
        <f t="shared" si="83"/>
        <v>0</v>
      </c>
      <c r="I159" s="4">
        <f t="shared" si="84"/>
        <v>0</v>
      </c>
      <c r="J159" s="511"/>
      <c r="K159" s="511"/>
      <c r="L159" s="82"/>
    </row>
    <row r="160" spans="1:12" ht="19.5" customHeight="1" x14ac:dyDescent="0.25">
      <c r="A160" s="186" t="str">
        <f>Datos!B168</f>
        <v>21.10</v>
      </c>
      <c r="B160" s="74" t="str">
        <f t="shared" ref="B160" si="85">IFERROR(VLOOKUP(A160,Tabla_Datos,2,FALSE),0)</f>
        <v>Subestaciones (Alas)</v>
      </c>
      <c r="C160" s="78"/>
      <c r="D160" s="79" t="str">
        <f t="shared" ref="D160" si="86">IFERROR(VLOOKUP(A160,Tabla_Datos,3,FALSE),0)</f>
        <v>u</v>
      </c>
      <c r="E160" s="80">
        <f t="shared" si="80"/>
        <v>2</v>
      </c>
      <c r="F160" s="81">
        <f t="shared" ref="F160" si="87">IFERROR(VLOOKUP(A160,Tabla_AP,7,FALSE),0)</f>
        <v>0</v>
      </c>
      <c r="G160" s="81">
        <f t="shared" ref="G160" si="88">ROUND(PrecioUnitario(F160,Costo_Financiero,Gastos_Generales,Beneficio,Ingresos_Brutos,IVA_Vivienda),2)</f>
        <v>0</v>
      </c>
      <c r="H160" s="81">
        <f t="shared" ref="H160" si="89">ROUND(E160*G160,2)</f>
        <v>0</v>
      </c>
      <c r="I160" s="4">
        <f t="shared" ref="I160" si="90">IFERROR(H160/Monto_Oferta,0)</f>
        <v>0</v>
      </c>
      <c r="J160" s="511"/>
      <c r="K160" s="511"/>
      <c r="L160" s="82"/>
    </row>
    <row r="161" spans="1:12" ht="19.5" customHeight="1" x14ac:dyDescent="0.25">
      <c r="A161" s="559">
        <f>Datos!B169</f>
        <v>22</v>
      </c>
      <c r="B161" s="560" t="str">
        <f t="shared" si="78"/>
        <v>ESPACIOS COMUNES - INSTALACIONES SANITARIAS</v>
      </c>
      <c r="C161" s="561"/>
      <c r="D161" s="562"/>
      <c r="E161" s="563"/>
      <c r="F161" s="564"/>
      <c r="G161" s="564"/>
      <c r="H161" s="564"/>
      <c r="I161" s="565"/>
      <c r="J161" s="511"/>
      <c r="K161" s="511"/>
      <c r="L161" s="82"/>
    </row>
    <row r="162" spans="1:12" ht="19.5" customHeight="1" x14ac:dyDescent="0.25">
      <c r="A162" s="186" t="str">
        <f>Datos!B170</f>
        <v>22.1</v>
      </c>
      <c r="B162" s="74" t="str">
        <f t="shared" si="78"/>
        <v>Caño Ø160</v>
      </c>
      <c r="C162" s="78"/>
      <c r="D162" s="79" t="str">
        <f t="shared" si="79"/>
        <v>ml</v>
      </c>
      <c r="E162" s="80">
        <f t="shared" si="80"/>
        <v>56</v>
      </c>
      <c r="F162" s="81">
        <f t="shared" si="81"/>
        <v>0</v>
      </c>
      <c r="G162" s="81">
        <f t="shared" si="82"/>
        <v>0</v>
      </c>
      <c r="H162" s="81">
        <f t="shared" si="83"/>
        <v>0</v>
      </c>
      <c r="I162" s="4">
        <f t="shared" si="84"/>
        <v>0</v>
      </c>
      <c r="J162" s="511"/>
      <c r="K162" s="511"/>
      <c r="L162" s="82"/>
    </row>
    <row r="163" spans="1:12" ht="19.5" customHeight="1" x14ac:dyDescent="0.25">
      <c r="A163" s="186" t="str">
        <f>Datos!B171</f>
        <v>22.2</v>
      </c>
      <c r="B163" s="74" t="str">
        <f t="shared" si="78"/>
        <v>Caño Ø110</v>
      </c>
      <c r="C163" s="78"/>
      <c r="D163" s="79" t="str">
        <f t="shared" si="79"/>
        <v>ml</v>
      </c>
      <c r="E163" s="80">
        <f t="shared" si="80"/>
        <v>340</v>
      </c>
      <c r="F163" s="81">
        <f t="shared" si="81"/>
        <v>0</v>
      </c>
      <c r="G163" s="81">
        <f t="shared" si="82"/>
        <v>0</v>
      </c>
      <c r="H163" s="81">
        <f t="shared" si="83"/>
        <v>0</v>
      </c>
      <c r="I163" s="4">
        <f t="shared" si="84"/>
        <v>0</v>
      </c>
      <c r="J163" s="511"/>
      <c r="K163" s="511"/>
      <c r="L163" s="82"/>
    </row>
    <row r="164" spans="1:12" ht="19.5" customHeight="1" x14ac:dyDescent="0.25">
      <c r="A164" s="186" t="str">
        <f>Datos!B172</f>
        <v>22.3</v>
      </c>
      <c r="B164" s="74" t="str">
        <f t="shared" si="78"/>
        <v>Cámara de inspección 60x60</v>
      </c>
      <c r="C164" s="78"/>
      <c r="D164" s="79" t="str">
        <f t="shared" si="79"/>
        <v>u</v>
      </c>
      <c r="E164" s="80">
        <f t="shared" si="80"/>
        <v>20</v>
      </c>
      <c r="F164" s="81">
        <f t="shared" si="81"/>
        <v>0</v>
      </c>
      <c r="G164" s="81">
        <f t="shared" si="82"/>
        <v>0</v>
      </c>
      <c r="H164" s="81">
        <f t="shared" si="83"/>
        <v>0</v>
      </c>
      <c r="I164" s="4">
        <f t="shared" si="84"/>
        <v>0</v>
      </c>
      <c r="J164" s="511"/>
      <c r="K164" s="511"/>
      <c r="L164" s="82"/>
    </row>
    <row r="165" spans="1:12" ht="19.5" customHeight="1" x14ac:dyDescent="0.25">
      <c r="A165" s="186" t="str">
        <f>Datos!B173</f>
        <v>22.4</v>
      </c>
      <c r="B165" s="74" t="str">
        <f t="shared" si="78"/>
        <v>Ramal Y Ø110</v>
      </c>
      <c r="C165" s="78"/>
      <c r="D165" s="79" t="str">
        <f t="shared" si="79"/>
        <v>u</v>
      </c>
      <c r="E165" s="80">
        <f t="shared" si="80"/>
        <v>30</v>
      </c>
      <c r="F165" s="81">
        <f t="shared" si="81"/>
        <v>0</v>
      </c>
      <c r="G165" s="81">
        <f t="shared" si="82"/>
        <v>0</v>
      </c>
      <c r="H165" s="81">
        <f t="shared" si="83"/>
        <v>0</v>
      </c>
      <c r="I165" s="4">
        <f t="shared" si="84"/>
        <v>0</v>
      </c>
      <c r="J165" s="511"/>
      <c r="K165" s="511"/>
      <c r="L165" s="82"/>
    </row>
    <row r="166" spans="1:12" ht="19.5" customHeight="1" x14ac:dyDescent="0.25">
      <c r="A166" s="186" t="str">
        <f>Datos!B174</f>
        <v>22.5</v>
      </c>
      <c r="B166" s="74" t="str">
        <f t="shared" si="78"/>
        <v>Codo a 90° Ø110</v>
      </c>
      <c r="C166" s="78"/>
      <c r="D166" s="79" t="str">
        <f t="shared" si="79"/>
        <v>u</v>
      </c>
      <c r="E166" s="80">
        <f t="shared" si="80"/>
        <v>32</v>
      </c>
      <c r="F166" s="81">
        <f t="shared" si="81"/>
        <v>0</v>
      </c>
      <c r="G166" s="81">
        <f t="shared" si="82"/>
        <v>0</v>
      </c>
      <c r="H166" s="81">
        <f t="shared" si="83"/>
        <v>0</v>
      </c>
      <c r="I166" s="4">
        <f t="shared" si="84"/>
        <v>0</v>
      </c>
      <c r="J166" s="511"/>
      <c r="K166" s="511"/>
      <c r="L166" s="82"/>
    </row>
    <row r="167" spans="1:12" ht="19.5" customHeight="1" x14ac:dyDescent="0.25">
      <c r="A167" s="559">
        <f>Datos!B175</f>
        <v>23</v>
      </c>
      <c r="B167" s="560" t="str">
        <f t="shared" si="78"/>
        <v>ESPACIOS COMUNES - CONEXIONES TANQUE Y CISTERNA</v>
      </c>
      <c r="C167" s="561"/>
      <c r="D167" s="562"/>
      <c r="E167" s="563"/>
      <c r="F167" s="564"/>
      <c r="G167" s="564"/>
      <c r="H167" s="564"/>
      <c r="I167" s="565"/>
      <c r="J167" s="511"/>
      <c r="K167" s="511"/>
      <c r="L167" s="82"/>
    </row>
    <row r="168" spans="1:12" ht="19.5" customHeight="1" x14ac:dyDescent="0.25">
      <c r="A168" s="186" t="str">
        <f>Datos!B176</f>
        <v>23.1</v>
      </c>
      <c r="B168" s="74" t="str">
        <f t="shared" si="78"/>
        <v>Conexiones domiciliarias PEAD PN 16 Ø25 (incluye accesorios y kit de conexión)</v>
      </c>
      <c r="C168" s="78"/>
      <c r="D168" s="79" t="str">
        <f t="shared" si="79"/>
        <v>u</v>
      </c>
      <c r="E168" s="80">
        <f t="shared" si="80"/>
        <v>8</v>
      </c>
      <c r="F168" s="81">
        <f t="shared" si="81"/>
        <v>0</v>
      </c>
      <c r="G168" s="81">
        <f t="shared" si="82"/>
        <v>0</v>
      </c>
      <c r="H168" s="81">
        <f t="shared" si="83"/>
        <v>0</v>
      </c>
      <c r="I168" s="4">
        <f t="shared" si="84"/>
        <v>0</v>
      </c>
      <c r="J168" s="511"/>
      <c r="K168" s="511"/>
      <c r="L168" s="82"/>
    </row>
    <row r="169" spans="1:12" ht="19.5" customHeight="1" x14ac:dyDescent="0.25">
      <c r="A169" s="186" t="str">
        <f>Datos!B177</f>
        <v>23.2</v>
      </c>
      <c r="B169" s="74" t="str">
        <f t="shared" si="78"/>
        <v xml:space="preserve">Llaves de paso Ø25 </v>
      </c>
      <c r="C169" s="78"/>
      <c r="D169" s="79" t="str">
        <f t="shared" si="79"/>
        <v>u</v>
      </c>
      <c r="E169" s="80">
        <f t="shared" si="80"/>
        <v>8</v>
      </c>
      <c r="F169" s="81">
        <f t="shared" si="81"/>
        <v>0</v>
      </c>
      <c r="G169" s="81">
        <f t="shared" si="82"/>
        <v>0</v>
      </c>
      <c r="H169" s="81">
        <f t="shared" si="83"/>
        <v>0</v>
      </c>
      <c r="I169" s="4">
        <f t="shared" si="84"/>
        <v>0</v>
      </c>
      <c r="J169" s="511"/>
      <c r="K169" s="511"/>
      <c r="L169" s="82"/>
    </row>
    <row r="170" spans="1:12" ht="19.5" customHeight="1" x14ac:dyDescent="0.25">
      <c r="A170" s="186" t="str">
        <f>Datos!B178</f>
        <v>23.3</v>
      </c>
      <c r="B170" s="74" t="str">
        <f t="shared" si="78"/>
        <v>Cañería PPL Ø25 (incluye accesorios)</v>
      </c>
      <c r="C170" s="78"/>
      <c r="D170" s="79" t="str">
        <f t="shared" si="79"/>
        <v>ml</v>
      </c>
      <c r="E170" s="80">
        <f t="shared" si="80"/>
        <v>640</v>
      </c>
      <c r="F170" s="81">
        <f t="shared" si="81"/>
        <v>0</v>
      </c>
      <c r="G170" s="81">
        <f t="shared" si="82"/>
        <v>0</v>
      </c>
      <c r="H170" s="81">
        <f t="shared" si="83"/>
        <v>0</v>
      </c>
      <c r="I170" s="4">
        <f t="shared" si="84"/>
        <v>0</v>
      </c>
      <c r="J170" s="511"/>
      <c r="K170" s="511"/>
      <c r="L170" s="82"/>
    </row>
    <row r="171" spans="1:12" ht="24.75" customHeight="1" x14ac:dyDescent="0.25">
      <c r="A171" s="186">
        <f>Datos!B179</f>
        <v>24</v>
      </c>
      <c r="B171" s="533" t="str">
        <f t="shared" ref="B171" si="91">IFERROR(VLOOKUP(A171,Tabla_Datos,2,FALSE),0)</f>
        <v>Elaboración de Proyecto Ejecutivo</v>
      </c>
      <c r="C171" s="78"/>
      <c r="D171" s="79" t="str">
        <f t="shared" ref="D171" si="92">IFERROR(VLOOKUP(A171,Tabla_Datos,3,FALSE),0)</f>
        <v>gl</v>
      </c>
      <c r="E171" s="80">
        <f t="shared" si="80"/>
        <v>1</v>
      </c>
      <c r="F171" s="81">
        <f t="shared" ref="F171" si="93">IFERROR(VLOOKUP(A171,Tabla_AP,7,FALSE),0)</f>
        <v>0</v>
      </c>
      <c r="G171" s="81">
        <f t="shared" ref="G171" si="94">ROUND(PrecioUnitario(F171,Costo_Financiero,Gastos_Generales,Beneficio,Ingresos_Brutos,IVA_Vivienda),2)</f>
        <v>0</v>
      </c>
      <c r="H171" s="81">
        <f t="shared" ref="H171" si="95">ROUND(E171*G171,2)</f>
        <v>0</v>
      </c>
      <c r="I171" s="4">
        <f t="shared" ref="I171" si="96">IFERROR(H171/Monto_Oferta,0)</f>
        <v>0</v>
      </c>
      <c r="J171" s="511"/>
      <c r="K171" s="511"/>
      <c r="L171" s="82"/>
    </row>
    <row r="172" spans="1:12" ht="20.100000000000001" customHeight="1" x14ac:dyDescent="0.25">
      <c r="A172" s="566"/>
      <c r="B172" s="567" t="str">
        <f>"TOTAL COSTO "</f>
        <v xml:space="preserve">TOTAL COSTO </v>
      </c>
      <c r="C172" s="567"/>
      <c r="D172" s="567"/>
      <c r="E172" s="567"/>
      <c r="F172" s="568">
        <f>+H174</f>
        <v>0</v>
      </c>
      <c r="G172" s="569"/>
      <c r="H172" s="570">
        <f>SUM(H29:H171)</f>
        <v>0</v>
      </c>
      <c r="I172" s="571">
        <f>SUM(I29:I171)</f>
        <v>0</v>
      </c>
      <c r="J172" s="511"/>
    </row>
    <row r="173" spans="1:12" ht="20.100000000000001" customHeight="1" thickBot="1" x14ac:dyDescent="0.3">
      <c r="G173" s="82"/>
      <c r="J173" s="511"/>
    </row>
    <row r="174" spans="1:12" s="160" customFormat="1" ht="20.100000000000001" customHeight="1" thickTop="1" x14ac:dyDescent="0.25">
      <c r="A174" s="152" t="s">
        <v>1106</v>
      </c>
      <c r="B174" s="153" t="s">
        <v>1162</v>
      </c>
      <c r="C174" s="154"/>
      <c r="D174" s="155"/>
      <c r="E174" s="156"/>
      <c r="F174" s="157"/>
      <c r="G174" s="156"/>
      <c r="H174" s="158">
        <f>H172/Coef_Paso_Vivienda</f>
        <v>0</v>
      </c>
      <c r="I174" s="159"/>
    </row>
    <row r="175" spans="1:12" s="160" customFormat="1" ht="20.100000000000001" customHeight="1" x14ac:dyDescent="0.25">
      <c r="A175" s="161" t="s">
        <v>1107</v>
      </c>
      <c r="B175" s="548" t="str">
        <f>"COSTO FINANCIERO  "&amp;ROUND(Costo_Financiero*100,2)&amp;" % de ( 1 )"</f>
        <v>COSTO FINANCIERO  0 % de ( 1 )</v>
      </c>
      <c r="C175" s="549"/>
      <c r="D175" s="162"/>
      <c r="E175" s="163">
        <f>Costo_Financiero</f>
        <v>0</v>
      </c>
      <c r="F175" s="550"/>
      <c r="H175" s="164">
        <f>ROUND(H174*Costo_Financiero,2)</f>
        <v>0</v>
      </c>
      <c r="I175" s="159"/>
      <c r="K175" s="75"/>
    </row>
    <row r="176" spans="1:12" s="160" customFormat="1" ht="20.100000000000001" customHeight="1" x14ac:dyDescent="0.25">
      <c r="A176" s="161" t="s">
        <v>1108</v>
      </c>
      <c r="B176" s="548" t="s">
        <v>1158</v>
      </c>
      <c r="C176" s="549"/>
      <c r="D176" s="162"/>
      <c r="F176" s="550"/>
      <c r="H176" s="164">
        <f>H174+H175</f>
        <v>0</v>
      </c>
      <c r="I176" s="159"/>
      <c r="K176" s="75"/>
    </row>
    <row r="177" spans="1:12" s="160" customFormat="1" ht="20.100000000000001" customHeight="1" x14ac:dyDescent="0.25">
      <c r="A177" s="161" t="s">
        <v>1109</v>
      </c>
      <c r="B177" s="551" t="str">
        <f>CONCATENATE("GASTOS GENERALES  ",ROUND(Gastos_Generales*100,3)," % de ( 3 )")</f>
        <v>GASTOS GENERALES  10 % de ( 3 )</v>
      </c>
      <c r="C177" s="551"/>
      <c r="D177" s="165"/>
      <c r="E177" s="163">
        <f>Gastos_Generales</f>
        <v>0.1</v>
      </c>
      <c r="F177" s="550"/>
      <c r="H177" s="164">
        <f>H176*E177</f>
        <v>0</v>
      </c>
      <c r="I177" s="165"/>
      <c r="K177" s="75"/>
    </row>
    <row r="178" spans="1:12" s="160" customFormat="1" ht="20.100000000000001" customHeight="1" x14ac:dyDescent="0.25">
      <c r="A178" s="161" t="s">
        <v>1110</v>
      </c>
      <c r="B178" s="551" t="str">
        <f>CONCATENATE("BENEFICIOS  ",ROUND(Beneficio*100,2)," % de ( 3 )")</f>
        <v>BENEFICIOS  10 % de ( 3 )</v>
      </c>
      <c r="C178" s="551"/>
      <c r="D178" s="165"/>
      <c r="E178" s="163">
        <f>Beneficio</f>
        <v>0.1</v>
      </c>
      <c r="F178" s="550"/>
      <c r="H178" s="164">
        <f>H176*E178</f>
        <v>0</v>
      </c>
      <c r="I178" s="165"/>
      <c r="L178" s="75"/>
    </row>
    <row r="179" spans="1:12" s="160" customFormat="1" ht="20.100000000000001" customHeight="1" x14ac:dyDescent="0.25">
      <c r="A179" s="161" t="s">
        <v>1529</v>
      </c>
      <c r="B179" s="548" t="s">
        <v>1159</v>
      </c>
      <c r="C179" s="549"/>
      <c r="D179" s="165"/>
      <c r="F179" s="550"/>
      <c r="H179" s="164">
        <f>H176+H177+H178</f>
        <v>0</v>
      </c>
      <c r="I179" s="165"/>
    </row>
    <row r="180" spans="1:12" s="160" customFormat="1" ht="20.100000000000001" customHeight="1" thickBot="1" x14ac:dyDescent="0.3">
      <c r="A180" s="166" t="s">
        <v>1160</v>
      </c>
      <c r="B180" s="167" t="str">
        <f>CONCATENATE("INGRESOS BRUTOS Y LOTE HOGAR  ",ROUND(Ingresos_Brutos*100,2)," % de ( 6 )")</f>
        <v>INGRESOS BRUTOS Y LOTE HOGAR  2,4 % de ( 6 )</v>
      </c>
      <c r="C180" s="167"/>
      <c r="D180" s="168"/>
      <c r="E180" s="169">
        <f>Ingresos_Brutos</f>
        <v>2.4E-2</v>
      </c>
      <c r="F180" s="170"/>
      <c r="G180" s="171"/>
      <c r="H180" s="172">
        <f>IF(Ingresos_Brutos=0,,ROUND(Ingresos_Brutos*H179,2))</f>
        <v>0</v>
      </c>
      <c r="I180" s="165"/>
      <c r="K180" s="75"/>
    </row>
    <row r="181" spans="1:12" s="160" customFormat="1" ht="20.100000000000001" hidden="1" customHeight="1" thickBot="1" x14ac:dyDescent="0.3">
      <c r="A181" s="166" t="s">
        <v>1161</v>
      </c>
      <c r="B181" s="167" t="str">
        <f>CONCATENATE("IMPUESTO AL VALOR AGREGADO ",IVA_Vivienda*100," % de ( 6 )")</f>
        <v>IMPUESTO AL VALOR AGREGADO 0,000000000001 % de ( 6 )</v>
      </c>
      <c r="C181" s="167"/>
      <c r="D181" s="168"/>
      <c r="E181" s="169">
        <f>IVA_Vivienda</f>
        <v>1E-14</v>
      </c>
      <c r="F181" s="170"/>
      <c r="G181" s="171"/>
      <c r="H181" s="172">
        <f>IF(IVA_Vivienda=0,,ROUND(IVA_Vivienda*H179,2))</f>
        <v>0</v>
      </c>
      <c r="I181" s="326"/>
    </row>
    <row r="182" spans="1:12" ht="20.100000000000001" hidden="1" customHeight="1" thickTop="1" x14ac:dyDescent="0.25">
      <c r="A182" s="88"/>
      <c r="B182" s="83"/>
      <c r="C182" s="83"/>
      <c r="D182" s="84"/>
      <c r="E182" s="85"/>
      <c r="F182" s="86"/>
      <c r="G182" s="89"/>
      <c r="I182" s="84"/>
    </row>
    <row r="183" spans="1:12" ht="20.100000000000001" hidden="1" customHeight="1" x14ac:dyDescent="0.25">
      <c r="B183" s="98" t="str">
        <f>"PRECIO TOTAL VIVENDAS"</f>
        <v>PRECIO TOTAL VIVENDAS</v>
      </c>
      <c r="C183" s="98"/>
      <c r="D183" s="84"/>
      <c r="F183" s="86"/>
      <c r="G183" s="89"/>
      <c r="H183" s="89">
        <f>H172</f>
        <v>0</v>
      </c>
      <c r="I183" s="327"/>
      <c r="K183" s="82"/>
    </row>
    <row r="184" spans="1:12" ht="20.100000000000001" customHeight="1" thickTop="1" x14ac:dyDescent="0.25">
      <c r="B184" s="98"/>
      <c r="C184" s="98"/>
      <c r="D184" s="84"/>
      <c r="F184" s="86"/>
      <c r="G184" s="89"/>
      <c r="H184" s="89"/>
      <c r="I184" s="327"/>
    </row>
    <row r="185" spans="1:12" ht="17.399999999999999" x14ac:dyDescent="0.25">
      <c r="B185" s="98" t="s">
        <v>1126</v>
      </c>
      <c r="H185" s="151">
        <f>+H183</f>
        <v>0</v>
      </c>
      <c r="I185" s="130">
        <f>+I172</f>
        <v>0</v>
      </c>
      <c r="K185" s="511"/>
    </row>
    <row r="186" spans="1:12" ht="17.399999999999999" x14ac:dyDescent="0.25">
      <c r="B186" s="98"/>
      <c r="G186" s="89"/>
      <c r="H186" s="451"/>
    </row>
    <row r="187" spans="1:12" ht="34.950000000000003" customHeight="1" x14ac:dyDescent="0.25">
      <c r="A187" s="592" t="s">
        <v>1550</v>
      </c>
      <c r="B187" s="592"/>
      <c r="C187" s="592"/>
      <c r="D187" s="592"/>
      <c r="E187" s="592"/>
      <c r="F187" s="592"/>
      <c r="G187" s="592"/>
      <c r="H187" s="547"/>
      <c r="I187" s="547"/>
    </row>
    <row r="188" spans="1:12" ht="34.950000000000003" customHeight="1" x14ac:dyDescent="0.25">
      <c r="A188" s="592" t="s">
        <v>1548</v>
      </c>
      <c r="B188" s="592"/>
      <c r="C188" s="592"/>
      <c r="D188" s="592"/>
      <c r="E188" s="592"/>
      <c r="F188" s="592"/>
      <c r="G188" s="592"/>
      <c r="H188" s="583">
        <f>Monto_Oferta/161.49</f>
        <v>0</v>
      </c>
      <c r="I188" s="547" t="s">
        <v>1545</v>
      </c>
    </row>
    <row r="189" spans="1:12" ht="20.399999999999999" x14ac:dyDescent="0.25">
      <c r="A189" t="s">
        <v>1245</v>
      </c>
      <c r="H189" s="381"/>
    </row>
    <row r="190" spans="1:12" x14ac:dyDescent="0.25">
      <c r="A190" t="s">
        <v>1246</v>
      </c>
    </row>
    <row r="191" spans="1:12" x14ac:dyDescent="0.25">
      <c r="A191" t="s">
        <v>1247</v>
      </c>
    </row>
    <row r="192" spans="1:12" ht="20.399999999999999" x14ac:dyDescent="0.25">
      <c r="A192" s="2" t="s">
        <v>1119</v>
      </c>
      <c r="H192" s="381"/>
    </row>
    <row r="193" spans="8:8" ht="20.399999999999999" x14ac:dyDescent="0.25">
      <c r="H193" s="381"/>
    </row>
    <row r="197" spans="8:8" ht="20.399999999999999" x14ac:dyDescent="0.25">
      <c r="H197" s="579"/>
    </row>
  </sheetData>
  <sheetProtection formatCells="0" formatColumns="0" formatRows="0" insertColumns="0" insertRows="0" deleteColumns="0" deleteRows="0"/>
  <mergeCells count="13">
    <mergeCell ref="A188:G188"/>
    <mergeCell ref="A187:G187"/>
    <mergeCell ref="A14:I14"/>
    <mergeCell ref="H11:H12"/>
    <mergeCell ref="B26:C26"/>
    <mergeCell ref="D16:E16"/>
    <mergeCell ref="D17:E17"/>
    <mergeCell ref="D18:E18"/>
    <mergeCell ref="D19:E19"/>
    <mergeCell ref="D20:E20"/>
    <mergeCell ref="D21:E21"/>
    <mergeCell ref="D22:E22"/>
    <mergeCell ref="D23:E23"/>
  </mergeCells>
  <phoneticPr fontId="48" type="noConversion"/>
  <conditionalFormatting sqref="B183:D184 I182:I184 A182:D182 B185:B186">
    <cfRule type="expression" dxfId="113" priority="668" stopIfTrue="1">
      <formula>#REF!=1</formula>
    </cfRule>
  </conditionalFormatting>
  <conditionalFormatting sqref="A16:A24">
    <cfRule type="expression" dxfId="112" priority="669" stopIfTrue="1">
      <formula>#REF!&gt;0</formula>
    </cfRule>
    <cfRule type="expression" dxfId="111" priority="670" stopIfTrue="1">
      <formula>#REF!&gt;0</formula>
    </cfRule>
    <cfRule type="expression" dxfId="110" priority="671" stopIfTrue="1">
      <formula>#REF!&gt;0</formula>
    </cfRule>
  </conditionalFormatting>
  <conditionalFormatting sqref="C28:C171 E28:E171 A28:A171">
    <cfRule type="expression" dxfId="109" priority="672" stopIfTrue="1">
      <formula>#REF!&gt;0</formula>
    </cfRule>
    <cfRule type="expression" dxfId="108" priority="673" stopIfTrue="1">
      <formula>#REF!&gt;0</formula>
    </cfRule>
    <cfRule type="expression" dxfId="107" priority="674" stopIfTrue="1">
      <formula>#REF!&gt;0</formula>
    </cfRule>
  </conditionalFormatting>
  <conditionalFormatting sqref="A182 B182:C184 B185:B186">
    <cfRule type="expression" dxfId="106" priority="675" stopIfTrue="1">
      <formula>#REF!=1</formula>
    </cfRule>
  </conditionalFormatting>
  <conditionalFormatting sqref="G186 H185 B183:D184 I182 A182:D182 F182:G184 B185:B186">
    <cfRule type="expression" dxfId="105" priority="676" stopIfTrue="1">
      <formula>#REF!=1</formula>
    </cfRule>
  </conditionalFormatting>
  <conditionalFormatting sqref="A28:B171">
    <cfRule type="expression" dxfId="104" priority="143">
      <formula>$D28=0</formula>
    </cfRule>
  </conditionalFormatting>
  <conditionalFormatting sqref="B54">
    <cfRule type="expression" dxfId="103" priority="133">
      <formula>$D54=0</formula>
    </cfRule>
  </conditionalFormatting>
  <conditionalFormatting sqref="C54">
    <cfRule type="expression" dxfId="102" priority="137" stopIfTrue="1">
      <formula>#REF!&gt;0</formula>
    </cfRule>
    <cfRule type="expression" dxfId="101" priority="138" stopIfTrue="1">
      <formula>#REF!&gt;0</formula>
    </cfRule>
    <cfRule type="expression" dxfId="100" priority="139" stopIfTrue="1">
      <formula>#REF!&gt;0</formula>
    </cfRule>
  </conditionalFormatting>
  <conditionalFormatting sqref="I177:I181 A177:D181 A174:C176">
    <cfRule type="expression" dxfId="99" priority="99" stopIfTrue="1">
      <formula>#REF!=1</formula>
    </cfRule>
  </conditionalFormatting>
  <conditionalFormatting sqref="B177:C178 B180:C181 A177:A181 A174:D176">
    <cfRule type="expression" dxfId="98" priority="100" stopIfTrue="1">
      <formula>#REF!=1</formula>
    </cfRule>
  </conditionalFormatting>
  <conditionalFormatting sqref="A174:D181 H174:I181 F174:F181 H183:H184">
    <cfRule type="expression" dxfId="97" priority="101" stopIfTrue="1">
      <formula>#REF!=1</formula>
    </cfRule>
  </conditionalFormatting>
  <printOptions horizontalCentered="1"/>
  <pageMargins left="0.59055118110236227" right="0" top="1.1811023622047245" bottom="0.19685039370078741" header="0.39370078740157483" footer="0"/>
  <pageSetup paperSize="5" scale="45" fitToHeight="0" orientation="portrait"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pageSetUpPr fitToPage="1"/>
  </sheetPr>
  <dimension ref="A1:X172"/>
  <sheetViews>
    <sheetView topLeftCell="G150" zoomScale="70" zoomScaleNormal="70" workbookViewId="0">
      <selection activeCell="G183" sqref="G183"/>
    </sheetView>
  </sheetViews>
  <sheetFormatPr baseColWidth="10" defaultColWidth="11.44140625" defaultRowHeight="20.100000000000001" customHeight="1" x14ac:dyDescent="0.25"/>
  <cols>
    <col min="1" max="1" width="8.6640625" style="55" customWidth="1"/>
    <col min="2" max="2" width="38.44140625" style="55" customWidth="1"/>
    <col min="3" max="3" width="58.44140625" style="55" customWidth="1"/>
    <col min="4" max="4" width="18.6640625" style="55" customWidth="1"/>
    <col min="5" max="5" width="16.6640625" style="55" customWidth="1"/>
    <col min="6" max="6" width="21.44140625" style="55" customWidth="1"/>
    <col min="7" max="7" width="17.6640625" style="55" customWidth="1"/>
    <col min="8" max="8" width="21" style="55" customWidth="1"/>
    <col min="9" max="9" width="22.6640625" style="55" customWidth="1"/>
    <col min="10" max="10" width="21.33203125" style="55" customWidth="1"/>
    <col min="11" max="23" width="20.33203125" style="55" customWidth="1"/>
    <col min="24" max="24" width="21" style="208" customWidth="1"/>
    <col min="25" max="16384" width="11.44140625" style="55"/>
  </cols>
  <sheetData>
    <row r="1" spans="1:24" s="86" customFormat="1" ht="20.100000000000001" hidden="1" customHeight="1" x14ac:dyDescent="0.25">
      <c r="A1" s="86" t="s">
        <v>7</v>
      </c>
      <c r="C1" s="341" t="str">
        <f>Comitente</f>
        <v>INSTITUTO PROVINCIAL DE LA VIVIENDA</v>
      </c>
      <c r="X1" s="209"/>
    </row>
    <row r="2" spans="1:24" s="206" customFormat="1" ht="20.100000000000001" hidden="1" customHeight="1" x14ac:dyDescent="0.25">
      <c r="A2" s="206" t="s">
        <v>8</v>
      </c>
      <c r="C2" s="342" t="str">
        <f>Obra</f>
        <v>LA NAVE - 103 DEPARTAMENTOS - CAPITAL</v>
      </c>
      <c r="X2" s="210"/>
    </row>
    <row r="3" spans="1:24" s="206" customFormat="1" ht="20.100000000000001" hidden="1" customHeight="1" x14ac:dyDescent="0.25">
      <c r="A3" s="206" t="s">
        <v>12</v>
      </c>
      <c r="C3" s="342" t="str">
        <f>Ubicación</f>
        <v>CAPITAL</v>
      </c>
      <c r="X3" s="210"/>
    </row>
    <row r="4" spans="1:24" s="206" customFormat="1" ht="20.100000000000001" hidden="1" customHeight="1" x14ac:dyDescent="0.25">
      <c r="A4" s="206" t="s">
        <v>11</v>
      </c>
      <c r="C4" s="343" t="str">
        <f>Número_Licitación</f>
        <v>LICITACION PUBLICA IPV N° 01/2023</v>
      </c>
      <c r="X4" s="210"/>
    </row>
    <row r="5" spans="1:24" s="206" customFormat="1" ht="20.100000000000001" hidden="1" customHeight="1" x14ac:dyDescent="0.25">
      <c r="A5" s="206" t="s">
        <v>32</v>
      </c>
      <c r="C5" s="343" t="str">
        <f>Número_Expediente</f>
        <v>501-004285-2022</v>
      </c>
      <c r="X5" s="210"/>
    </row>
    <row r="6" spans="1:24" s="206" customFormat="1" ht="20.100000000000001" hidden="1" customHeight="1" x14ac:dyDescent="0.25">
      <c r="A6" s="206" t="s">
        <v>1103</v>
      </c>
      <c r="C6" s="345">
        <f>Anticipo_Financiero</f>
        <v>0</v>
      </c>
      <c r="D6" s="211"/>
      <c r="X6" s="210"/>
    </row>
    <row r="7" spans="1:24" s="206" customFormat="1" ht="20.100000000000001" hidden="1" customHeight="1" x14ac:dyDescent="0.25">
      <c r="A7" s="206" t="s">
        <v>13</v>
      </c>
      <c r="C7" s="340">
        <f>Plazo_Obra</f>
        <v>540</v>
      </c>
      <c r="G7" s="506"/>
      <c r="H7" s="506"/>
      <c r="X7" s="210"/>
    </row>
    <row r="8" spans="1:24" s="206" customFormat="1" ht="20.100000000000001" hidden="1" customHeight="1" x14ac:dyDescent="0.25">
      <c r="A8" s="206" t="s">
        <v>9</v>
      </c>
      <c r="C8" s="342" t="str">
        <f>Contratista</f>
        <v>xxxxxxxxx</v>
      </c>
      <c r="G8" s="506"/>
      <c r="H8" s="506"/>
      <c r="X8" s="210"/>
    </row>
    <row r="9" spans="1:24" s="206" customFormat="1" ht="20.100000000000001" hidden="1" customHeight="1" x14ac:dyDescent="0.25">
      <c r="A9" s="206" t="s">
        <v>42</v>
      </c>
      <c r="C9" s="342">
        <f>Monto_Oferta</f>
        <v>0</v>
      </c>
      <c r="G9" s="506"/>
      <c r="H9" s="506"/>
      <c r="X9" s="210"/>
    </row>
    <row r="10" spans="1:24" s="86" customFormat="1" ht="20.100000000000001" hidden="1" customHeight="1" x14ac:dyDescent="0.25">
      <c r="A10" s="86" t="s">
        <v>1135</v>
      </c>
      <c r="C10" s="344">
        <f>Monto_Terreno</f>
        <v>0</v>
      </c>
      <c r="X10" s="209"/>
    </row>
    <row r="11" spans="1:24" s="90" customFormat="1" ht="20.100000000000001" hidden="1" customHeight="1" x14ac:dyDescent="0.25">
      <c r="A11" s="86"/>
      <c r="C11" s="207"/>
      <c r="X11" s="205"/>
    </row>
    <row r="12" spans="1:24" s="90" customFormat="1" ht="20.100000000000001" customHeight="1" x14ac:dyDescent="0.25">
      <c r="A12" s="600" t="s">
        <v>40</v>
      </c>
      <c r="B12" s="601"/>
      <c r="C12" s="601"/>
      <c r="D12" s="602"/>
      <c r="E12" s="86"/>
      <c r="F12" s="86"/>
      <c r="G12" s="86"/>
      <c r="H12" s="86"/>
      <c r="X12" s="205"/>
    </row>
    <row r="14" spans="1:24" ht="20.100000000000001" customHeight="1" x14ac:dyDescent="0.25">
      <c r="A14" s="604" t="s">
        <v>1105</v>
      </c>
      <c r="B14" s="605" t="s">
        <v>0</v>
      </c>
      <c r="C14" s="605"/>
      <c r="D14" s="606" t="s">
        <v>10</v>
      </c>
      <c r="E14" s="69"/>
      <c r="F14" s="607" t="s">
        <v>16</v>
      </c>
      <c r="G14" s="608"/>
      <c r="H14" s="608"/>
      <c r="I14" s="608"/>
      <c r="J14" s="608"/>
      <c r="K14" s="608"/>
      <c r="L14" s="608"/>
      <c r="M14" s="608"/>
      <c r="N14" s="608"/>
      <c r="O14" s="608"/>
      <c r="P14" s="608"/>
      <c r="Q14" s="608"/>
      <c r="R14" s="608"/>
      <c r="S14" s="608"/>
      <c r="T14" s="608"/>
      <c r="U14" s="608"/>
      <c r="V14" s="608"/>
      <c r="W14" s="608"/>
      <c r="X14" s="603" t="s">
        <v>15</v>
      </c>
    </row>
    <row r="15" spans="1:24" ht="20.100000000000001" customHeight="1" thickBot="1" x14ac:dyDescent="0.3">
      <c r="A15" s="604"/>
      <c r="B15" s="605"/>
      <c r="C15" s="605"/>
      <c r="D15" s="606"/>
      <c r="E15" s="69"/>
      <c r="F15" s="53">
        <v>1</v>
      </c>
      <c r="G15" s="53">
        <f>F15+1</f>
        <v>2</v>
      </c>
      <c r="H15" s="53">
        <f t="shared" ref="H15:L15" si="0">G15+1</f>
        <v>3</v>
      </c>
      <c r="I15" s="53">
        <f t="shared" si="0"/>
        <v>4</v>
      </c>
      <c r="J15" s="53">
        <f t="shared" si="0"/>
        <v>5</v>
      </c>
      <c r="K15" s="53">
        <f t="shared" si="0"/>
        <v>6</v>
      </c>
      <c r="L15" s="53">
        <f t="shared" si="0"/>
        <v>7</v>
      </c>
      <c r="M15" s="53">
        <f t="shared" ref="M15" si="1">L15+1</f>
        <v>8</v>
      </c>
      <c r="N15" s="53">
        <f t="shared" ref="N15" si="2">M15+1</f>
        <v>9</v>
      </c>
      <c r="O15" s="53">
        <f t="shared" ref="O15" si="3">N15+1</f>
        <v>10</v>
      </c>
      <c r="P15" s="53">
        <f t="shared" ref="P15" si="4">O15+1</f>
        <v>11</v>
      </c>
      <c r="Q15" s="53">
        <f t="shared" ref="Q15" si="5">P15+1</f>
        <v>12</v>
      </c>
      <c r="R15" s="53">
        <f t="shared" ref="R15" si="6">Q15+1</f>
        <v>13</v>
      </c>
      <c r="S15" s="53">
        <f t="shared" ref="S15" si="7">R15+1</f>
        <v>14</v>
      </c>
      <c r="T15" s="53">
        <f t="shared" ref="T15" si="8">S15+1</f>
        <v>15</v>
      </c>
      <c r="U15" s="53">
        <f t="shared" ref="U15" si="9">T15+1</f>
        <v>16</v>
      </c>
      <c r="V15" s="53">
        <f t="shared" ref="V15" si="10">U15+1</f>
        <v>17</v>
      </c>
      <c r="W15" s="53">
        <f t="shared" ref="W15" si="11">V15+1</f>
        <v>18</v>
      </c>
      <c r="X15" s="603"/>
    </row>
    <row r="16" spans="1:24" ht="20.100000000000001" customHeight="1" x14ac:dyDescent="0.25">
      <c r="A16" s="520" t="str">
        <f>Datos!B35</f>
        <v>A</v>
      </c>
      <c r="B16" s="521" t="str">
        <f t="shared" ref="B16:B29" si="12">IFERROR(VLOOKUP(A16,Tabla_Comp_Presup,2,FALSE),0)</f>
        <v>DEPARTAMENTOS</v>
      </c>
      <c r="C16" s="522"/>
      <c r="D16" s="523"/>
      <c r="E16" s="54"/>
      <c r="F16" s="500"/>
      <c r="G16" s="501"/>
      <c r="H16" s="501"/>
      <c r="I16" s="501"/>
      <c r="J16" s="501"/>
      <c r="K16" s="501"/>
      <c r="L16" s="501"/>
      <c r="M16" s="518"/>
      <c r="N16" s="518"/>
      <c r="O16" s="518"/>
      <c r="P16" s="518"/>
      <c r="Q16" s="518"/>
      <c r="R16" s="518"/>
      <c r="S16" s="518"/>
      <c r="T16" s="518"/>
      <c r="U16" s="518"/>
      <c r="V16" s="518"/>
      <c r="W16" s="535"/>
      <c r="X16" s="534">
        <f>SUM(F16:W16)</f>
        <v>0</v>
      </c>
    </row>
    <row r="17" spans="1:24" ht="20.100000000000001" customHeight="1" x14ac:dyDescent="0.25">
      <c r="A17" s="202">
        <f>Datos!B36</f>
        <v>1</v>
      </c>
      <c r="B17" s="203" t="str">
        <f t="shared" si="12"/>
        <v xml:space="preserve">TRABAJOS PRELIMINARES </v>
      </c>
      <c r="C17" s="204"/>
      <c r="D17" s="4">
        <f>SUMIF(CyP!A:A,PTyCI!A17,CyP!I:I)</f>
        <v>0</v>
      </c>
      <c r="E17" s="505"/>
      <c r="F17" s="450"/>
      <c r="G17" s="382"/>
      <c r="H17" s="382"/>
      <c r="I17" s="382"/>
      <c r="J17" s="382"/>
      <c r="K17" s="382"/>
      <c r="L17" s="382"/>
      <c r="M17" s="519"/>
      <c r="N17" s="519"/>
      <c r="O17" s="519"/>
      <c r="P17" s="519"/>
      <c r="Q17" s="519"/>
      <c r="R17" s="519"/>
      <c r="S17" s="519"/>
      <c r="T17" s="519"/>
      <c r="U17" s="519"/>
      <c r="V17" s="519"/>
      <c r="W17" s="536"/>
      <c r="X17" s="534">
        <f>SUM(F17:W17)</f>
        <v>0</v>
      </c>
    </row>
    <row r="18" spans="1:24" ht="20.100000000000001" customHeight="1" x14ac:dyDescent="0.25">
      <c r="A18" s="202" t="str">
        <f>Datos!B37</f>
        <v>1.1</v>
      </c>
      <c r="B18" s="203" t="str">
        <f t="shared" si="12"/>
        <v>Limpieza general, incluye desmalezamiento, demolición de construcciones existentes</v>
      </c>
      <c r="C18" s="204"/>
      <c r="D18" s="4">
        <f>SUMIF(CyP!A:A,PTyCI!A18,CyP!I:I)</f>
        <v>0</v>
      </c>
      <c r="E18" s="505"/>
      <c r="F18" s="525"/>
      <c r="G18" s="382"/>
      <c r="H18" s="382"/>
      <c r="I18" s="382"/>
      <c r="J18" s="382"/>
      <c r="K18" s="382"/>
      <c r="L18" s="382"/>
      <c r="M18" s="519"/>
      <c r="N18" s="519"/>
      <c r="O18" s="519"/>
      <c r="P18" s="519"/>
      <c r="Q18" s="519"/>
      <c r="R18" s="519"/>
      <c r="S18" s="519"/>
      <c r="T18" s="519"/>
      <c r="U18" s="519"/>
      <c r="V18" s="519"/>
      <c r="W18" s="536"/>
      <c r="X18" s="534">
        <f t="shared" ref="X18:X81" si="13">SUM(F18:W18)</f>
        <v>0</v>
      </c>
    </row>
    <row r="19" spans="1:24" ht="20.100000000000001" customHeight="1" x14ac:dyDescent="0.25">
      <c r="A19" s="202">
        <f>Datos!B38</f>
        <v>2</v>
      </c>
      <c r="B19" s="203" t="str">
        <f t="shared" si="12"/>
        <v>MOVIMIENTO DE SUELOS</v>
      </c>
      <c r="C19" s="204"/>
      <c r="D19" s="4">
        <f>SUMIF(CyP!A:A,PTyCI!A19,CyP!I:I)</f>
        <v>0</v>
      </c>
      <c r="E19" s="505"/>
      <c r="F19" s="525"/>
      <c r="G19" s="524"/>
      <c r="H19" s="524"/>
      <c r="I19" s="524"/>
      <c r="J19" s="524"/>
      <c r="K19" s="524"/>
      <c r="L19" s="526"/>
      <c r="M19" s="527"/>
      <c r="N19" s="527"/>
      <c r="O19" s="527"/>
      <c r="P19" s="527"/>
      <c r="Q19" s="527"/>
      <c r="R19" s="527"/>
      <c r="S19" s="527"/>
      <c r="T19" s="527"/>
      <c r="U19" s="527"/>
      <c r="V19" s="527"/>
      <c r="W19" s="537"/>
      <c r="X19" s="534">
        <f t="shared" si="13"/>
        <v>0</v>
      </c>
    </row>
    <row r="20" spans="1:24" ht="20.100000000000001" customHeight="1" x14ac:dyDescent="0.25">
      <c r="A20" s="202" t="str">
        <f>Datos!B39</f>
        <v>2.1</v>
      </c>
      <c r="B20" s="203" t="str">
        <f t="shared" si="12"/>
        <v>Excavación para fundaciones</v>
      </c>
      <c r="C20" s="204"/>
      <c r="D20" s="4">
        <f>SUMIF(CyP!A:A,PTyCI!A20,CyP!I:I)</f>
        <v>0</v>
      </c>
      <c r="E20" s="505"/>
      <c r="F20" s="528"/>
      <c r="G20" s="524"/>
      <c r="H20" s="524"/>
      <c r="I20" s="524"/>
      <c r="J20" s="524"/>
      <c r="K20" s="524"/>
      <c r="L20" s="524"/>
      <c r="M20" s="529"/>
      <c r="N20" s="529"/>
      <c r="O20" s="529"/>
      <c r="P20" s="529"/>
      <c r="Q20" s="529"/>
      <c r="R20" s="529"/>
      <c r="S20" s="529"/>
      <c r="T20" s="529"/>
      <c r="U20" s="529"/>
      <c r="V20" s="529"/>
      <c r="W20" s="538"/>
      <c r="X20" s="534">
        <f t="shared" si="13"/>
        <v>0</v>
      </c>
    </row>
    <row r="21" spans="1:24" ht="20.100000000000001" customHeight="1" x14ac:dyDescent="0.25">
      <c r="A21" s="202" t="str">
        <f>Datos!B40</f>
        <v>2.2</v>
      </c>
      <c r="B21" s="203" t="str">
        <f t="shared" si="12"/>
        <v>Excavacion de Subsuelo</v>
      </c>
      <c r="C21" s="204"/>
      <c r="D21" s="4">
        <f>SUMIF(CyP!A:A,PTyCI!A21,CyP!I:I)</f>
        <v>0</v>
      </c>
      <c r="E21" s="505"/>
      <c r="F21" s="528"/>
      <c r="G21" s="524"/>
      <c r="H21" s="524"/>
      <c r="I21" s="524"/>
      <c r="J21" s="524"/>
      <c r="K21" s="524"/>
      <c r="L21" s="524"/>
      <c r="M21" s="529"/>
      <c r="N21" s="529"/>
      <c r="O21" s="529"/>
      <c r="P21" s="529"/>
      <c r="Q21" s="529"/>
      <c r="R21" s="529"/>
      <c r="S21" s="529"/>
      <c r="T21" s="529"/>
      <c r="U21" s="529"/>
      <c r="V21" s="529"/>
      <c r="W21" s="538"/>
      <c r="X21" s="534">
        <f t="shared" si="13"/>
        <v>0</v>
      </c>
    </row>
    <row r="22" spans="1:24" ht="20.100000000000001" customHeight="1" x14ac:dyDescent="0.25">
      <c r="A22" s="202">
        <f>Datos!B41</f>
        <v>3</v>
      </c>
      <c r="B22" s="203" t="str">
        <f t="shared" si="12"/>
        <v>FUNDACIONES</v>
      </c>
      <c r="C22" s="204"/>
      <c r="D22" s="4">
        <f>SUMIF(CyP!A:A,PTyCI!A22,CyP!I:I)</f>
        <v>0</v>
      </c>
      <c r="E22" s="505"/>
      <c r="F22" s="525"/>
      <c r="G22" s="524"/>
      <c r="H22" s="524"/>
      <c r="I22" s="524"/>
      <c r="J22" s="524"/>
      <c r="K22" s="524"/>
      <c r="L22" s="524"/>
      <c r="M22" s="524"/>
      <c r="N22" s="524"/>
      <c r="O22" s="524"/>
      <c r="P22" s="524"/>
      <c r="Q22" s="524"/>
      <c r="R22" s="524"/>
      <c r="S22" s="524"/>
      <c r="T22" s="524"/>
      <c r="U22" s="524"/>
      <c r="V22" s="524"/>
      <c r="W22" s="538"/>
      <c r="X22" s="534">
        <f t="shared" si="13"/>
        <v>0</v>
      </c>
    </row>
    <row r="23" spans="1:24" ht="20.100000000000001" customHeight="1" x14ac:dyDescent="0.25">
      <c r="A23" s="202" t="str">
        <f>Datos!B42</f>
        <v>3.1</v>
      </c>
      <c r="B23" s="203" t="str">
        <f t="shared" si="12"/>
        <v>Hº - Bases aisladas y vigas de arriostramiento</v>
      </c>
      <c r="C23" s="204"/>
      <c r="D23" s="4">
        <f>SUMIF(CyP!A:A,PTyCI!A23,CyP!I:I)</f>
        <v>0</v>
      </c>
      <c r="E23" s="505"/>
      <c r="F23" s="530"/>
      <c r="G23" s="524"/>
      <c r="H23" s="524"/>
      <c r="I23" s="524"/>
      <c r="J23" s="524"/>
      <c r="K23" s="524"/>
      <c r="L23" s="524"/>
      <c r="M23" s="524"/>
      <c r="N23" s="524"/>
      <c r="O23" s="524"/>
      <c r="P23" s="524"/>
      <c r="Q23" s="524"/>
      <c r="R23" s="524"/>
      <c r="S23" s="524"/>
      <c r="T23" s="524"/>
      <c r="U23" s="524"/>
      <c r="V23" s="524"/>
      <c r="W23" s="538"/>
      <c r="X23" s="534">
        <f t="shared" si="13"/>
        <v>0</v>
      </c>
    </row>
    <row r="24" spans="1:24" ht="20.100000000000001" customHeight="1" x14ac:dyDescent="0.25">
      <c r="A24" s="202" t="str">
        <f>Datos!B43</f>
        <v>3.2</v>
      </c>
      <c r="B24" s="203" t="str">
        <f t="shared" si="12"/>
        <v>Aº - Bases aisladas y vigas de arriostramiento</v>
      </c>
      <c r="C24" s="204"/>
      <c r="D24" s="4">
        <f>SUMIF(CyP!A:A,PTyCI!A24,CyP!I:I)</f>
        <v>0</v>
      </c>
      <c r="E24" s="505"/>
      <c r="F24" s="528"/>
      <c r="G24" s="524"/>
      <c r="H24" s="524"/>
      <c r="I24" s="524"/>
      <c r="J24" s="524"/>
      <c r="K24" s="524"/>
      <c r="L24" s="524"/>
      <c r="M24" s="524"/>
      <c r="N24" s="524"/>
      <c r="O24" s="524"/>
      <c r="P24" s="524"/>
      <c r="Q24" s="524"/>
      <c r="R24" s="524"/>
      <c r="S24" s="524"/>
      <c r="T24" s="524"/>
      <c r="U24" s="524"/>
      <c r="V24" s="524"/>
      <c r="W24" s="538"/>
      <c r="X24" s="534">
        <f t="shared" si="13"/>
        <v>0</v>
      </c>
    </row>
    <row r="25" spans="1:24" ht="20.100000000000001" customHeight="1" x14ac:dyDescent="0.25">
      <c r="A25" s="202">
        <f>Datos!B44</f>
        <v>4</v>
      </c>
      <c r="B25" s="203" t="str">
        <f t="shared" si="12"/>
        <v>ESTRUCTURA RESISTENTE</v>
      </c>
      <c r="C25" s="204"/>
      <c r="D25" s="4">
        <f>SUMIF(CyP!A:A,PTyCI!A25,CyP!I:I)</f>
        <v>0</v>
      </c>
      <c r="E25" s="505"/>
      <c r="F25" s="528"/>
      <c r="G25" s="524"/>
      <c r="H25" s="524"/>
      <c r="I25" s="524"/>
      <c r="J25" s="524"/>
      <c r="K25" s="524"/>
      <c r="L25" s="524"/>
      <c r="M25" s="524"/>
      <c r="N25" s="524"/>
      <c r="O25" s="524"/>
      <c r="P25" s="524"/>
      <c r="Q25" s="524"/>
      <c r="R25" s="524"/>
      <c r="S25" s="524"/>
      <c r="T25" s="524"/>
      <c r="U25" s="524"/>
      <c r="V25" s="524"/>
      <c r="W25" s="538"/>
      <c r="X25" s="534">
        <f t="shared" si="13"/>
        <v>0</v>
      </c>
    </row>
    <row r="26" spans="1:24" ht="20.100000000000001" customHeight="1" x14ac:dyDescent="0.25">
      <c r="A26" s="202" t="str">
        <f>Datos!B45</f>
        <v>4.1</v>
      </c>
      <c r="B26" s="203" t="str">
        <f t="shared" si="12"/>
        <v>Replanteo y niveles</v>
      </c>
      <c r="C26" s="204"/>
      <c r="D26" s="4">
        <f>SUMIF(CyP!A:A,PTyCI!A26,CyP!I:I)</f>
        <v>0</v>
      </c>
      <c r="E26" s="505"/>
      <c r="F26" s="525"/>
      <c r="G26" s="524"/>
      <c r="H26" s="524"/>
      <c r="I26" s="524"/>
      <c r="J26" s="524"/>
      <c r="K26" s="524"/>
      <c r="L26" s="524"/>
      <c r="M26" s="524"/>
      <c r="N26" s="524"/>
      <c r="O26" s="524"/>
      <c r="P26" s="524"/>
      <c r="Q26" s="524"/>
      <c r="R26" s="524"/>
      <c r="S26" s="524"/>
      <c r="T26" s="524"/>
      <c r="U26" s="524"/>
      <c r="V26" s="524"/>
      <c r="W26" s="538"/>
      <c r="X26" s="534">
        <f t="shared" si="13"/>
        <v>0</v>
      </c>
    </row>
    <row r="27" spans="1:24" ht="20.100000000000001" customHeight="1" x14ac:dyDescent="0.25">
      <c r="A27" s="202" t="str">
        <f>Datos!B46</f>
        <v>4.2</v>
      </c>
      <c r="B27" s="203" t="str">
        <f t="shared" si="12"/>
        <v>Hormigon para Losas H-21</v>
      </c>
      <c r="C27" s="204"/>
      <c r="D27" s="4">
        <f>SUMIF(CyP!A:A,PTyCI!A27,CyP!I:I)</f>
        <v>0</v>
      </c>
      <c r="E27" s="505"/>
      <c r="F27" s="525"/>
      <c r="G27" s="524"/>
      <c r="H27" s="524"/>
      <c r="I27" s="524"/>
      <c r="J27" s="524"/>
      <c r="K27" s="524"/>
      <c r="L27" s="524"/>
      <c r="M27" s="524"/>
      <c r="N27" s="524"/>
      <c r="O27" s="524"/>
      <c r="P27" s="524"/>
      <c r="Q27" s="524"/>
      <c r="R27" s="524"/>
      <c r="S27" s="524"/>
      <c r="T27" s="524"/>
      <c r="U27" s="524"/>
      <c r="V27" s="524"/>
      <c r="W27" s="538"/>
      <c r="X27" s="534">
        <f t="shared" si="13"/>
        <v>0</v>
      </c>
    </row>
    <row r="28" spans="1:24" ht="19.5" customHeight="1" x14ac:dyDescent="0.25">
      <c r="A28" s="202" t="str">
        <f>Datos!B47</f>
        <v>4.3</v>
      </c>
      <c r="B28" s="203" t="str">
        <f t="shared" si="12"/>
        <v>Hormigon resistente H-30</v>
      </c>
      <c r="C28" s="204"/>
      <c r="D28" s="4">
        <f>SUMIF(CyP!A:A,PTyCI!A28,CyP!I:I)</f>
        <v>0</v>
      </c>
      <c r="E28" s="505"/>
      <c r="F28" s="530"/>
      <c r="G28" s="524"/>
      <c r="H28" s="524"/>
      <c r="I28" s="524"/>
      <c r="J28" s="524"/>
      <c r="K28" s="524"/>
      <c r="L28" s="524"/>
      <c r="M28" s="524"/>
      <c r="N28" s="524"/>
      <c r="O28" s="524"/>
      <c r="P28" s="524"/>
      <c r="Q28" s="524"/>
      <c r="R28" s="524"/>
      <c r="S28" s="524"/>
      <c r="T28" s="524"/>
      <c r="U28" s="524"/>
      <c r="V28" s="524"/>
      <c r="W28" s="538"/>
      <c r="X28" s="534">
        <f t="shared" si="13"/>
        <v>0</v>
      </c>
    </row>
    <row r="29" spans="1:24" ht="20.100000000000001" customHeight="1" x14ac:dyDescent="0.25">
      <c r="A29" s="202" t="str">
        <f>Datos!B48</f>
        <v>4.4</v>
      </c>
      <c r="B29" s="203" t="str">
        <f t="shared" si="12"/>
        <v>Hormigon para encadenados H-17</v>
      </c>
      <c r="C29" s="204"/>
      <c r="D29" s="4">
        <f>SUMIF(CyP!A:A,PTyCI!A29,CyP!I:I)</f>
        <v>0</v>
      </c>
      <c r="E29" s="505"/>
      <c r="F29" s="525"/>
      <c r="G29" s="524"/>
      <c r="H29" s="524"/>
      <c r="I29" s="524"/>
      <c r="J29" s="524"/>
      <c r="K29" s="524"/>
      <c r="L29" s="524"/>
      <c r="M29" s="524"/>
      <c r="N29" s="524"/>
      <c r="O29" s="524"/>
      <c r="P29" s="524"/>
      <c r="Q29" s="524"/>
      <c r="R29" s="524"/>
      <c r="S29" s="524"/>
      <c r="T29" s="524"/>
      <c r="U29" s="524"/>
      <c r="V29" s="524"/>
      <c r="W29" s="538"/>
      <c r="X29" s="534">
        <f t="shared" si="13"/>
        <v>0</v>
      </c>
    </row>
    <row r="30" spans="1:24" ht="20.100000000000001" customHeight="1" x14ac:dyDescent="0.25">
      <c r="A30" s="202" t="str">
        <f>Datos!B49</f>
        <v>4.5</v>
      </c>
      <c r="B30" s="203" t="str">
        <f t="shared" ref="B30" si="14">IFERROR(VLOOKUP(A30,Tabla_Comp_Presup,2,FALSE),0)</f>
        <v>Hormigon para escaleras exteriores</v>
      </c>
      <c r="C30" s="204"/>
      <c r="D30" s="4">
        <f>SUMIF(CyP!A:A,PTyCI!A30,CyP!I:I)</f>
        <v>0</v>
      </c>
      <c r="E30" s="505"/>
      <c r="F30" s="525"/>
      <c r="G30" s="524"/>
      <c r="H30" s="524"/>
      <c r="I30" s="524"/>
      <c r="J30" s="524"/>
      <c r="K30" s="524"/>
      <c r="L30" s="524"/>
      <c r="M30" s="524"/>
      <c r="N30" s="524"/>
      <c r="O30" s="524"/>
      <c r="P30" s="524"/>
      <c r="Q30" s="524"/>
      <c r="R30" s="524"/>
      <c r="S30" s="524"/>
      <c r="T30" s="524"/>
      <c r="U30" s="524"/>
      <c r="V30" s="524"/>
      <c r="W30" s="538"/>
      <c r="X30" s="534">
        <f t="shared" si="13"/>
        <v>0</v>
      </c>
    </row>
    <row r="31" spans="1:24" ht="20.100000000000001" customHeight="1" x14ac:dyDescent="0.25">
      <c r="A31" s="202" t="str">
        <f>Datos!B50</f>
        <v>4.6</v>
      </c>
      <c r="B31" s="203" t="str">
        <f t="shared" ref="B31:B37" si="15">IFERROR(VLOOKUP(A31,Tabla_Comp_Presup,2,FALSE),0)</f>
        <v>Acero para losas</v>
      </c>
      <c r="C31" s="204"/>
      <c r="D31" s="4">
        <f>SUMIF(CyP!A:A,PTyCI!A31,CyP!I:I)</f>
        <v>0</v>
      </c>
      <c r="E31" s="505"/>
      <c r="F31" s="525"/>
      <c r="G31" s="524"/>
      <c r="H31" s="524"/>
      <c r="I31" s="524"/>
      <c r="J31" s="524"/>
      <c r="K31" s="524"/>
      <c r="L31" s="524"/>
      <c r="M31" s="524"/>
      <c r="N31" s="524"/>
      <c r="O31" s="524"/>
      <c r="P31" s="524"/>
      <c r="Q31" s="524"/>
      <c r="R31" s="524"/>
      <c r="S31" s="524"/>
      <c r="T31" s="524"/>
      <c r="U31" s="524"/>
      <c r="V31" s="524"/>
      <c r="W31" s="538"/>
      <c r="X31" s="534">
        <f t="shared" si="13"/>
        <v>0</v>
      </c>
    </row>
    <row r="32" spans="1:24" ht="20.100000000000001" customHeight="1" x14ac:dyDescent="0.25">
      <c r="A32" s="202" t="str">
        <f>Datos!B51</f>
        <v>4.7</v>
      </c>
      <c r="B32" s="203" t="str">
        <f t="shared" si="15"/>
        <v>Acero para vigas</v>
      </c>
      <c r="C32" s="204"/>
      <c r="D32" s="4">
        <f>SUMIF(CyP!A:A,PTyCI!A32,CyP!I:I)</f>
        <v>0</v>
      </c>
      <c r="E32" s="505"/>
      <c r="F32" s="525"/>
      <c r="G32" s="524"/>
      <c r="H32" s="524"/>
      <c r="I32" s="524"/>
      <c r="J32" s="524"/>
      <c r="K32" s="524"/>
      <c r="L32" s="524"/>
      <c r="M32" s="524"/>
      <c r="N32" s="524"/>
      <c r="O32" s="524"/>
      <c r="P32" s="524"/>
      <c r="Q32" s="524"/>
      <c r="R32" s="524"/>
      <c r="S32" s="524"/>
      <c r="T32" s="524"/>
      <c r="U32" s="524"/>
      <c r="V32" s="524"/>
      <c r="W32" s="538"/>
      <c r="X32" s="534">
        <f t="shared" si="13"/>
        <v>0</v>
      </c>
    </row>
    <row r="33" spans="1:24" ht="20.100000000000001" customHeight="1" x14ac:dyDescent="0.25">
      <c r="A33" s="202" t="str">
        <f>Datos!B52</f>
        <v>4.8</v>
      </c>
      <c r="B33" s="203" t="str">
        <f t="shared" si="15"/>
        <v>Acero para columnas</v>
      </c>
      <c r="C33" s="204"/>
      <c r="D33" s="4">
        <f>SUMIF(CyP!A:A,PTyCI!A33,CyP!I:I)</f>
        <v>0</v>
      </c>
      <c r="E33" s="505"/>
      <c r="F33" s="525"/>
      <c r="G33" s="524"/>
      <c r="H33" s="524"/>
      <c r="I33" s="524"/>
      <c r="J33" s="524"/>
      <c r="K33" s="524"/>
      <c r="L33" s="524"/>
      <c r="M33" s="524"/>
      <c r="N33" s="524"/>
      <c r="O33" s="524"/>
      <c r="P33" s="524"/>
      <c r="Q33" s="524"/>
      <c r="R33" s="524"/>
      <c r="S33" s="524"/>
      <c r="T33" s="524"/>
      <c r="U33" s="524"/>
      <c r="V33" s="524"/>
      <c r="W33" s="538"/>
      <c r="X33" s="534">
        <f t="shared" si="13"/>
        <v>0</v>
      </c>
    </row>
    <row r="34" spans="1:24" ht="20.100000000000001" customHeight="1" x14ac:dyDescent="0.25">
      <c r="A34" s="202" t="str">
        <f>Datos!B53</f>
        <v>4.9</v>
      </c>
      <c r="B34" s="203" t="str">
        <f t="shared" si="15"/>
        <v>Acero para escaleras exteriores</v>
      </c>
      <c r="C34" s="204"/>
      <c r="D34" s="4">
        <f>SUMIF(CyP!A:A,PTyCI!A34,CyP!I:I)</f>
        <v>0</v>
      </c>
      <c r="E34" s="505"/>
      <c r="F34" s="525"/>
      <c r="G34" s="524"/>
      <c r="H34" s="524"/>
      <c r="I34" s="524"/>
      <c r="J34" s="524"/>
      <c r="K34" s="524"/>
      <c r="L34" s="524"/>
      <c r="M34" s="524"/>
      <c r="N34" s="524"/>
      <c r="O34" s="524"/>
      <c r="P34" s="524"/>
      <c r="Q34" s="524"/>
      <c r="R34" s="524"/>
      <c r="S34" s="524"/>
      <c r="T34" s="524"/>
      <c r="U34" s="524"/>
      <c r="V34" s="524"/>
      <c r="W34" s="538"/>
      <c r="X34" s="534">
        <f t="shared" si="13"/>
        <v>0</v>
      </c>
    </row>
    <row r="35" spans="1:24" ht="20.100000000000001" customHeight="1" x14ac:dyDescent="0.25">
      <c r="A35" s="202" t="str">
        <f>Datos!B54</f>
        <v>4.10</v>
      </c>
      <c r="B35" s="203" t="str">
        <f t="shared" si="15"/>
        <v>estructura metalica de espacios comunes y chapa exterior</v>
      </c>
      <c r="C35" s="204"/>
      <c r="D35" s="4">
        <f>SUMIF(CyP!A:A,PTyCI!A35,CyP!I:I)</f>
        <v>0</v>
      </c>
      <c r="E35" s="505"/>
      <c r="F35" s="525"/>
      <c r="G35" s="524"/>
      <c r="H35" s="524"/>
      <c r="I35" s="524"/>
      <c r="J35" s="524"/>
      <c r="K35" s="524"/>
      <c r="L35" s="524"/>
      <c r="M35" s="524"/>
      <c r="N35" s="524"/>
      <c r="O35" s="524"/>
      <c r="P35" s="524"/>
      <c r="Q35" s="524"/>
      <c r="R35" s="524"/>
      <c r="S35" s="524"/>
      <c r="T35" s="524"/>
      <c r="U35" s="524"/>
      <c r="V35" s="584"/>
      <c r="W35" s="538"/>
      <c r="X35" s="534">
        <f>SUM(F35:W35)</f>
        <v>0</v>
      </c>
    </row>
    <row r="36" spans="1:24" ht="20.100000000000001" customHeight="1" x14ac:dyDescent="0.25">
      <c r="A36" s="202" t="str">
        <f>Datos!B55</f>
        <v>4.11</v>
      </c>
      <c r="B36" s="203" t="str">
        <f t="shared" si="15"/>
        <v>chapa lisa en gabinetes</v>
      </c>
      <c r="C36" s="204"/>
      <c r="D36" s="4">
        <f>SUMIF(CyP!A:A,PTyCI!A36,CyP!I:I)</f>
        <v>0</v>
      </c>
      <c r="E36" s="505"/>
      <c r="F36" s="525"/>
      <c r="G36" s="524"/>
      <c r="H36" s="524"/>
      <c r="I36" s="524"/>
      <c r="J36" s="524"/>
      <c r="K36" s="524"/>
      <c r="L36" s="524"/>
      <c r="M36" s="524"/>
      <c r="N36" s="524"/>
      <c r="O36" s="524"/>
      <c r="P36" s="524"/>
      <c r="Q36" s="524"/>
      <c r="R36" s="524"/>
      <c r="S36" s="524"/>
      <c r="T36" s="524"/>
      <c r="U36" s="524"/>
      <c r="V36" s="584"/>
      <c r="W36" s="538"/>
      <c r="X36" s="534">
        <f>SUM(F36:W36)</f>
        <v>0</v>
      </c>
    </row>
    <row r="37" spans="1:24" ht="20.100000000000001" customHeight="1" x14ac:dyDescent="0.25">
      <c r="A37" s="202" t="str">
        <f>Datos!B56</f>
        <v>4.12</v>
      </c>
      <c r="B37" s="203" t="str">
        <f t="shared" si="15"/>
        <v xml:space="preserve">chapa micro perforada </v>
      </c>
      <c r="C37" s="204"/>
      <c r="D37" s="4">
        <f>SUMIF(CyP!A:A,PTyCI!A37,CyP!I:I)</f>
        <v>0</v>
      </c>
      <c r="E37" s="505"/>
      <c r="F37" s="525"/>
      <c r="G37" s="524"/>
      <c r="H37" s="524"/>
      <c r="I37" s="524"/>
      <c r="J37" s="524"/>
      <c r="K37" s="524"/>
      <c r="L37" s="524"/>
      <c r="M37" s="524"/>
      <c r="N37" s="524"/>
      <c r="O37" s="524"/>
      <c r="P37" s="524"/>
      <c r="Q37" s="524"/>
      <c r="R37" s="524"/>
      <c r="S37" s="524"/>
      <c r="T37" s="524"/>
      <c r="U37" s="524"/>
      <c r="V37" s="584"/>
      <c r="W37" s="538"/>
      <c r="X37" s="534">
        <f>SUM(F37:W37)</f>
        <v>0</v>
      </c>
    </row>
    <row r="38" spans="1:24" ht="20.100000000000001" customHeight="1" x14ac:dyDescent="0.25">
      <c r="A38" s="202">
        <f>Datos!B57</f>
        <v>5</v>
      </c>
      <c r="B38" s="203" t="str">
        <f t="shared" ref="B38:B58" si="16">IFERROR(VLOOKUP(A38,Tabla_Comp_Presup,2,FALSE),0)</f>
        <v>ALBAÑILERÍA | CERRAMIENTOS VERTICALES</v>
      </c>
      <c r="C38" s="204"/>
      <c r="D38" s="4">
        <f>SUMIF(CyP!A:A,PTyCI!A38,CyP!I:I)</f>
        <v>0</v>
      </c>
      <c r="E38" s="505"/>
      <c r="F38" s="525"/>
      <c r="G38" s="524"/>
      <c r="H38" s="524"/>
      <c r="I38" s="524"/>
      <c r="J38" s="524"/>
      <c r="K38" s="524"/>
      <c r="L38" s="524"/>
      <c r="M38" s="524"/>
      <c r="N38" s="524"/>
      <c r="O38" s="524"/>
      <c r="P38" s="524"/>
      <c r="Q38" s="524"/>
      <c r="R38" s="524"/>
      <c r="S38" s="524"/>
      <c r="T38" s="524"/>
      <c r="U38" s="524"/>
      <c r="V38" s="524"/>
      <c r="W38" s="538"/>
      <c r="X38" s="534">
        <f t="shared" si="13"/>
        <v>0</v>
      </c>
    </row>
    <row r="39" spans="1:24" ht="20.100000000000001" customHeight="1" x14ac:dyDescent="0.25">
      <c r="A39" s="202" t="str">
        <f>Datos!B58</f>
        <v>5.1</v>
      </c>
      <c r="B39" s="203" t="str">
        <f t="shared" si="16"/>
        <v>Mampostería interior - Tabique Liviano</v>
      </c>
      <c r="C39" s="204"/>
      <c r="D39" s="4">
        <f>SUMIF(CyP!A:A,PTyCI!A39,CyP!I:I)</f>
        <v>0</v>
      </c>
      <c r="E39" s="505"/>
      <c r="F39" s="525"/>
      <c r="G39" s="524"/>
      <c r="H39" s="524"/>
      <c r="I39" s="524"/>
      <c r="J39" s="524"/>
      <c r="K39" s="524"/>
      <c r="L39" s="524"/>
      <c r="M39" s="524"/>
      <c r="N39" s="524"/>
      <c r="O39" s="524"/>
      <c r="P39" s="524"/>
      <c r="Q39" s="524"/>
      <c r="R39" s="524"/>
      <c r="S39" s="524"/>
      <c r="T39" s="524"/>
      <c r="U39" s="524"/>
      <c r="V39" s="524"/>
      <c r="W39" s="538"/>
      <c r="X39" s="534">
        <f t="shared" si="13"/>
        <v>0</v>
      </c>
    </row>
    <row r="40" spans="1:24" ht="20.100000000000001" customHeight="1" x14ac:dyDescent="0.25">
      <c r="A40" s="202" t="str">
        <f>Datos!B59</f>
        <v>5.2</v>
      </c>
      <c r="B40" s="203" t="str">
        <f t="shared" si="16"/>
        <v>Mampostería exterior -  Muro de ladrillo ceramico hueco</v>
      </c>
      <c r="C40" s="204"/>
      <c r="D40" s="4">
        <f>SUMIF(CyP!A:A,PTyCI!A40,CyP!I:I)</f>
        <v>0</v>
      </c>
      <c r="E40" s="505"/>
      <c r="F40" s="525"/>
      <c r="G40" s="524"/>
      <c r="H40" s="524"/>
      <c r="I40" s="524"/>
      <c r="J40" s="524"/>
      <c r="K40" s="524"/>
      <c r="L40" s="524"/>
      <c r="M40" s="524"/>
      <c r="N40" s="524"/>
      <c r="O40" s="524"/>
      <c r="P40" s="524"/>
      <c r="Q40" s="524"/>
      <c r="R40" s="524"/>
      <c r="S40" s="524"/>
      <c r="T40" s="524"/>
      <c r="U40" s="524"/>
      <c r="V40" s="524"/>
      <c r="W40" s="538"/>
      <c r="X40" s="534">
        <f t="shared" si="13"/>
        <v>0</v>
      </c>
    </row>
    <row r="41" spans="1:24" ht="20.100000000000001" customHeight="1" x14ac:dyDescent="0.25">
      <c r="A41" s="202">
        <f>Datos!B60</f>
        <v>6</v>
      </c>
      <c r="B41" s="203" t="str">
        <f t="shared" si="16"/>
        <v>AISLACIONES Y REVOQUES</v>
      </c>
      <c r="C41" s="204"/>
      <c r="D41" s="4">
        <f>SUMIF(CyP!A:A,PTyCI!A41,CyP!I:I)</f>
        <v>0</v>
      </c>
      <c r="E41" s="505"/>
      <c r="F41" s="525"/>
      <c r="G41" s="524"/>
      <c r="H41" s="524"/>
      <c r="I41" s="524"/>
      <c r="J41" s="524"/>
      <c r="K41" s="524"/>
      <c r="L41" s="524"/>
      <c r="M41" s="524"/>
      <c r="N41" s="524"/>
      <c r="O41" s="524"/>
      <c r="P41" s="524"/>
      <c r="Q41" s="524"/>
      <c r="R41" s="524"/>
      <c r="S41" s="524"/>
      <c r="T41" s="524"/>
      <c r="U41" s="524"/>
      <c r="V41" s="524"/>
      <c r="W41" s="538"/>
      <c r="X41" s="534">
        <f t="shared" si="13"/>
        <v>0</v>
      </c>
    </row>
    <row r="42" spans="1:24" ht="20.100000000000001" customHeight="1" x14ac:dyDescent="0.25">
      <c r="A42" s="202" t="str">
        <f>Datos!B61</f>
        <v>6.1</v>
      </c>
      <c r="B42" s="203" t="str">
        <f t="shared" si="16"/>
        <v>Aislación hidrófuga horizontal en muros PB (cajón)</v>
      </c>
      <c r="C42" s="204"/>
      <c r="D42" s="4">
        <f>SUMIF(CyP!A:A,PTyCI!A42,CyP!I:I)</f>
        <v>0</v>
      </c>
      <c r="E42" s="505"/>
      <c r="F42" s="525"/>
      <c r="G42" s="524"/>
      <c r="H42" s="524"/>
      <c r="I42" s="524"/>
      <c r="J42" s="524"/>
      <c r="K42" s="524"/>
      <c r="L42" s="524"/>
      <c r="M42" s="524"/>
      <c r="N42" s="524"/>
      <c r="O42" s="524"/>
      <c r="P42" s="524"/>
      <c r="Q42" s="524"/>
      <c r="R42" s="524"/>
      <c r="S42" s="524"/>
      <c r="T42" s="524"/>
      <c r="U42" s="524"/>
      <c r="V42" s="524"/>
      <c r="W42" s="538"/>
      <c r="X42" s="534">
        <f t="shared" si="13"/>
        <v>0</v>
      </c>
    </row>
    <row r="43" spans="1:24" ht="20.100000000000001" customHeight="1" x14ac:dyDescent="0.25">
      <c r="A43" s="202" t="str">
        <f>Datos!B62</f>
        <v>6.2</v>
      </c>
      <c r="B43" s="203" t="str">
        <f t="shared" si="16"/>
        <v>Revoque grueso bajo revestimiento en locales húmedos</v>
      </c>
      <c r="C43" s="204"/>
      <c r="D43" s="4">
        <f>SUMIF(CyP!A:A,PTyCI!A43,CyP!I:I)</f>
        <v>0</v>
      </c>
      <c r="E43" s="505"/>
      <c r="F43" s="525"/>
      <c r="G43" s="524"/>
      <c r="H43" s="524"/>
      <c r="I43" s="524"/>
      <c r="J43" s="524"/>
      <c r="K43" s="524"/>
      <c r="L43" s="524"/>
      <c r="M43" s="524"/>
      <c r="N43" s="524"/>
      <c r="O43" s="524"/>
      <c r="P43" s="524"/>
      <c r="Q43" s="524"/>
      <c r="R43" s="524"/>
      <c r="S43" s="524"/>
      <c r="T43" s="524"/>
      <c r="U43" s="524"/>
      <c r="V43" s="524"/>
      <c r="W43" s="538"/>
      <c r="X43" s="534">
        <f t="shared" si="13"/>
        <v>0</v>
      </c>
    </row>
    <row r="44" spans="1:24" ht="20.100000000000001" customHeight="1" x14ac:dyDescent="0.25">
      <c r="A44" s="202" t="str">
        <f>Datos!B63</f>
        <v>6.3</v>
      </c>
      <c r="B44" s="203" t="str">
        <f t="shared" si="16"/>
        <v xml:space="preserve">Revoque  y enlucido interior </v>
      </c>
      <c r="C44" s="204"/>
      <c r="D44" s="4">
        <f>SUMIF(CyP!A:A,PTyCI!A44,CyP!I:I)</f>
        <v>0</v>
      </c>
      <c r="E44" s="505"/>
      <c r="F44" s="525"/>
      <c r="G44" s="524"/>
      <c r="H44" s="524"/>
      <c r="I44" s="524"/>
      <c r="J44" s="524"/>
      <c r="K44" s="524"/>
      <c r="L44" s="524"/>
      <c r="M44" s="524"/>
      <c r="N44" s="524"/>
      <c r="O44" s="524"/>
      <c r="P44" s="524"/>
      <c r="Q44" s="524"/>
      <c r="R44" s="524"/>
      <c r="S44" s="524"/>
      <c r="T44" s="524"/>
      <c r="U44" s="524"/>
      <c r="V44" s="524"/>
      <c r="W44" s="538"/>
      <c r="X44" s="534">
        <f t="shared" si="13"/>
        <v>0</v>
      </c>
    </row>
    <row r="45" spans="1:24" ht="20.100000000000001" customHeight="1" x14ac:dyDescent="0.25">
      <c r="A45" s="202" t="str">
        <f>Datos!B64</f>
        <v>6.4</v>
      </c>
      <c r="B45" s="203" t="str">
        <f t="shared" si="16"/>
        <v>Revoque exterior</v>
      </c>
      <c r="C45" s="204"/>
      <c r="D45" s="4">
        <f>SUMIF(CyP!A:A,PTyCI!A45,CyP!I:I)</f>
        <v>0</v>
      </c>
      <c r="E45" s="505"/>
      <c r="F45" s="525"/>
      <c r="G45" s="524"/>
      <c r="H45" s="524"/>
      <c r="I45" s="524"/>
      <c r="J45" s="524"/>
      <c r="K45" s="524"/>
      <c r="L45" s="524"/>
      <c r="M45" s="524"/>
      <c r="N45" s="524"/>
      <c r="O45" s="524"/>
      <c r="P45" s="524"/>
      <c r="Q45" s="524"/>
      <c r="R45" s="524"/>
      <c r="S45" s="524"/>
      <c r="T45" s="524"/>
      <c r="U45" s="524"/>
      <c r="V45" s="524"/>
      <c r="W45" s="538"/>
      <c r="X45" s="534">
        <f t="shared" si="13"/>
        <v>0</v>
      </c>
    </row>
    <row r="46" spans="1:24" ht="20.100000000000001" customHeight="1" x14ac:dyDescent="0.25">
      <c r="A46" s="202">
        <f>Datos!B65</f>
        <v>7</v>
      </c>
      <c r="B46" s="203" t="str">
        <f t="shared" si="16"/>
        <v>REVESTIMIENTOS</v>
      </c>
      <c r="C46" s="204"/>
      <c r="D46" s="4">
        <f>SUMIF(CyP!A:A,PTyCI!A46,CyP!I:I)</f>
        <v>0</v>
      </c>
      <c r="E46" s="373"/>
      <c r="F46" s="525"/>
      <c r="G46" s="524"/>
      <c r="H46" s="524"/>
      <c r="I46" s="524"/>
      <c r="J46" s="524"/>
      <c r="K46" s="524"/>
      <c r="L46" s="524"/>
      <c r="M46" s="524"/>
      <c r="N46" s="524"/>
      <c r="O46" s="524"/>
      <c r="P46" s="524"/>
      <c r="Q46" s="524"/>
      <c r="R46" s="524"/>
      <c r="S46" s="524"/>
      <c r="T46" s="524"/>
      <c r="U46" s="524"/>
      <c r="V46" s="524"/>
      <c r="W46" s="538"/>
      <c r="X46" s="534">
        <f t="shared" si="13"/>
        <v>0</v>
      </c>
    </row>
    <row r="47" spans="1:24" ht="20.100000000000001" customHeight="1" x14ac:dyDescent="0.25">
      <c r="A47" s="202" t="str">
        <f>Datos!B66</f>
        <v>7.1</v>
      </c>
      <c r="B47" s="203" t="str">
        <f t="shared" si="16"/>
        <v>Cerámico Cocina y baño</v>
      </c>
      <c r="C47" s="204"/>
      <c r="D47" s="4">
        <f>SUMIF(CyP!A:A,PTyCI!A47,CyP!I:I)</f>
        <v>0</v>
      </c>
      <c r="E47" s="505"/>
      <c r="F47" s="525"/>
      <c r="G47" s="524"/>
      <c r="H47" s="524"/>
      <c r="I47" s="524"/>
      <c r="J47" s="524"/>
      <c r="K47" s="524"/>
      <c r="L47" s="524"/>
      <c r="M47" s="524"/>
      <c r="N47" s="524"/>
      <c r="O47" s="524"/>
      <c r="P47" s="524"/>
      <c r="Q47" s="524"/>
      <c r="R47" s="524"/>
      <c r="S47" s="524"/>
      <c r="T47" s="524"/>
      <c r="U47" s="524"/>
      <c r="V47" s="524"/>
      <c r="W47" s="538"/>
      <c r="X47" s="534">
        <f t="shared" si="13"/>
        <v>0</v>
      </c>
    </row>
    <row r="48" spans="1:24" ht="20.100000000000001" customHeight="1" x14ac:dyDescent="0.25">
      <c r="A48" s="202">
        <f>Datos!B67</f>
        <v>8</v>
      </c>
      <c r="B48" s="203" t="str">
        <f t="shared" si="16"/>
        <v>PINTURA</v>
      </c>
      <c r="C48" s="204"/>
      <c r="D48" s="4">
        <f>SUMIF(CyP!A:A,PTyCI!A48,CyP!I:I)</f>
        <v>0</v>
      </c>
      <c r="E48" s="505"/>
      <c r="F48" s="525"/>
      <c r="G48" s="524"/>
      <c r="H48" s="524"/>
      <c r="I48" s="524"/>
      <c r="J48" s="524"/>
      <c r="K48" s="524"/>
      <c r="L48" s="524"/>
      <c r="M48" s="524"/>
      <c r="N48" s="524"/>
      <c r="O48" s="524"/>
      <c r="P48" s="524"/>
      <c r="Q48" s="524"/>
      <c r="R48" s="524"/>
      <c r="S48" s="524"/>
      <c r="T48" s="524"/>
      <c r="U48" s="524"/>
      <c r="V48" s="524"/>
      <c r="W48" s="538"/>
      <c r="X48" s="534">
        <f t="shared" si="13"/>
        <v>0</v>
      </c>
    </row>
    <row r="49" spans="1:24" ht="20.100000000000001" customHeight="1" x14ac:dyDescent="0.25">
      <c r="A49" s="202" t="str">
        <f>Datos!B68</f>
        <v>8.1</v>
      </c>
      <c r="B49" s="203" t="str">
        <f t="shared" si="16"/>
        <v>Pintura al látex en muros</v>
      </c>
      <c r="C49" s="204"/>
      <c r="D49" s="4">
        <f>SUMIF(CyP!A:A,PTyCI!A49,CyP!I:I)</f>
        <v>0</v>
      </c>
      <c r="E49" s="505"/>
      <c r="F49" s="525"/>
      <c r="G49" s="524"/>
      <c r="H49" s="524"/>
      <c r="I49" s="524"/>
      <c r="J49" s="524"/>
      <c r="K49" s="524"/>
      <c r="L49" s="524"/>
      <c r="M49" s="524"/>
      <c r="N49" s="524"/>
      <c r="O49" s="524"/>
      <c r="P49" s="524"/>
      <c r="Q49" s="524"/>
      <c r="R49" s="524"/>
      <c r="S49" s="524"/>
      <c r="T49" s="524"/>
      <c r="U49" s="524"/>
      <c r="V49" s="524"/>
      <c r="W49" s="538"/>
      <c r="X49" s="534">
        <f t="shared" si="13"/>
        <v>0</v>
      </c>
    </row>
    <row r="50" spans="1:24" ht="20.100000000000001" customHeight="1" x14ac:dyDescent="0.25">
      <c r="A50" s="202" t="str">
        <f>Datos!B69</f>
        <v>8.2</v>
      </c>
      <c r="B50" s="203" t="str">
        <f t="shared" si="16"/>
        <v>Pintura al látex en cielorrasos</v>
      </c>
      <c r="C50" s="204"/>
      <c r="D50" s="4">
        <f>SUMIF(CyP!A:A,PTyCI!A50,CyP!I:I)</f>
        <v>0</v>
      </c>
      <c r="E50" s="505"/>
      <c r="F50" s="525"/>
      <c r="G50" s="524"/>
      <c r="H50" s="524"/>
      <c r="I50" s="524"/>
      <c r="J50" s="524"/>
      <c r="K50" s="524"/>
      <c r="L50" s="524"/>
      <c r="M50" s="524"/>
      <c r="N50" s="524"/>
      <c r="O50" s="524"/>
      <c r="P50" s="524"/>
      <c r="Q50" s="524"/>
      <c r="R50" s="524"/>
      <c r="S50" s="524"/>
      <c r="T50" s="524"/>
      <c r="U50" s="524"/>
      <c r="V50" s="524"/>
      <c r="W50" s="538"/>
      <c r="X50" s="534">
        <f t="shared" si="13"/>
        <v>0</v>
      </c>
    </row>
    <row r="51" spans="1:24" ht="20.100000000000001" customHeight="1" x14ac:dyDescent="0.25">
      <c r="A51" s="202" t="str">
        <f>Datos!B70</f>
        <v>8.3</v>
      </c>
      <c r="B51" s="203" t="str">
        <f t="shared" si="16"/>
        <v xml:space="preserve">Pintura látex antihongos                                                                                                                                                                   </v>
      </c>
      <c r="C51" s="204"/>
      <c r="D51" s="4">
        <f>SUMIF(CyP!A:A,PTyCI!A51,CyP!I:I)</f>
        <v>0</v>
      </c>
      <c r="E51" s="505"/>
      <c r="F51" s="525"/>
      <c r="G51" s="524"/>
      <c r="H51" s="524"/>
      <c r="I51" s="524"/>
      <c r="J51" s="524"/>
      <c r="K51" s="524"/>
      <c r="L51" s="524"/>
      <c r="M51" s="524"/>
      <c r="N51" s="524"/>
      <c r="O51" s="524"/>
      <c r="P51" s="524"/>
      <c r="Q51" s="524"/>
      <c r="R51" s="524"/>
      <c r="S51" s="524"/>
      <c r="T51" s="524"/>
      <c r="U51" s="524"/>
      <c r="V51" s="524"/>
      <c r="W51" s="538"/>
      <c r="X51" s="534">
        <f t="shared" si="13"/>
        <v>0</v>
      </c>
    </row>
    <row r="52" spans="1:24" ht="20.100000000000001" customHeight="1" x14ac:dyDescent="0.25">
      <c r="A52" s="202" t="str">
        <f>Datos!B71</f>
        <v>8.4</v>
      </c>
      <c r="B52" s="203" t="str">
        <f t="shared" si="16"/>
        <v>Pintura al látex exterioren muros</v>
      </c>
      <c r="C52" s="204"/>
      <c r="D52" s="4">
        <f>SUMIF(CyP!A:A,PTyCI!A52,CyP!I:I)</f>
        <v>0</v>
      </c>
      <c r="E52" s="505"/>
      <c r="F52" s="525"/>
      <c r="G52" s="524"/>
      <c r="H52" s="524"/>
      <c r="I52" s="524"/>
      <c r="J52" s="524"/>
      <c r="K52" s="524"/>
      <c r="L52" s="524"/>
      <c r="M52" s="524"/>
      <c r="N52" s="524"/>
      <c r="O52" s="524"/>
      <c r="P52" s="524"/>
      <c r="Q52" s="524"/>
      <c r="R52" s="524"/>
      <c r="S52" s="524"/>
      <c r="T52" s="524"/>
      <c r="U52" s="524"/>
      <c r="V52" s="524"/>
      <c r="W52" s="538"/>
      <c r="X52" s="534">
        <f t="shared" si="13"/>
        <v>0</v>
      </c>
    </row>
    <row r="53" spans="1:24" ht="20.100000000000001" customHeight="1" x14ac:dyDescent="0.25">
      <c r="A53" s="202" t="str">
        <f>Datos!B72</f>
        <v>8.5</v>
      </c>
      <c r="B53" s="203" t="str">
        <f t="shared" si="16"/>
        <v>Pintura esmalte sintético carpinterías de chapa</v>
      </c>
      <c r="C53" s="204"/>
      <c r="D53" s="4">
        <f>SUMIF(CyP!A:A,PTyCI!A53,CyP!I:I)</f>
        <v>0</v>
      </c>
      <c r="E53" s="505"/>
      <c r="F53" s="525"/>
      <c r="G53" s="524"/>
      <c r="H53" s="524"/>
      <c r="I53" s="524"/>
      <c r="J53" s="524"/>
      <c r="K53" s="524"/>
      <c r="L53" s="524"/>
      <c r="M53" s="524"/>
      <c r="N53" s="524"/>
      <c r="O53" s="524"/>
      <c r="P53" s="524"/>
      <c r="Q53" s="524"/>
      <c r="R53" s="524"/>
      <c r="S53" s="524"/>
      <c r="T53" s="524"/>
      <c r="U53" s="524"/>
      <c r="V53" s="524"/>
      <c r="W53" s="538"/>
      <c r="X53" s="534">
        <f t="shared" si="13"/>
        <v>0</v>
      </c>
    </row>
    <row r="54" spans="1:24" ht="20.100000000000001" customHeight="1" x14ac:dyDescent="0.25">
      <c r="A54" s="202" t="str">
        <f>Datos!B73</f>
        <v>8.6</v>
      </c>
      <c r="B54" s="203" t="str">
        <f t="shared" si="16"/>
        <v>Pintura esmalte sintético carpinterías de madera</v>
      </c>
      <c r="C54" s="204"/>
      <c r="D54" s="4">
        <f>SUMIF(CyP!A:A,PTyCI!A54,CyP!I:I)</f>
        <v>0</v>
      </c>
      <c r="E54" s="505"/>
      <c r="F54" s="525"/>
      <c r="G54" s="524"/>
      <c r="H54" s="524"/>
      <c r="I54" s="524"/>
      <c r="J54" s="524"/>
      <c r="K54" s="524"/>
      <c r="L54" s="524"/>
      <c r="M54" s="524"/>
      <c r="N54" s="524"/>
      <c r="O54" s="524"/>
      <c r="P54" s="524"/>
      <c r="Q54" s="524"/>
      <c r="R54" s="524"/>
      <c r="S54" s="524"/>
      <c r="T54" s="524"/>
      <c r="U54" s="524"/>
      <c r="V54" s="524"/>
      <c r="W54" s="538"/>
      <c r="X54" s="534">
        <f t="shared" si="13"/>
        <v>0</v>
      </c>
    </row>
    <row r="55" spans="1:24" ht="20.100000000000001" customHeight="1" x14ac:dyDescent="0.25">
      <c r="A55" s="202">
        <f>Datos!B74</f>
        <v>9</v>
      </c>
      <c r="B55" s="203" t="str">
        <f t="shared" si="16"/>
        <v>CONTRAPISOS y CARPETAS</v>
      </c>
      <c r="C55" s="204"/>
      <c r="D55" s="4">
        <f>SUMIF(CyP!A:A,PTyCI!A55,CyP!I:I)</f>
        <v>0</v>
      </c>
      <c r="E55" s="505"/>
      <c r="F55" s="525"/>
      <c r="G55" s="524"/>
      <c r="H55" s="524"/>
      <c r="I55" s="524"/>
      <c r="J55" s="524"/>
      <c r="K55" s="524"/>
      <c r="L55" s="524"/>
      <c r="M55" s="524"/>
      <c r="N55" s="524"/>
      <c r="O55" s="524"/>
      <c r="P55" s="524"/>
      <c r="Q55" s="524"/>
      <c r="R55" s="524"/>
      <c r="S55" s="524"/>
      <c r="T55" s="524"/>
      <c r="U55" s="524"/>
      <c r="V55" s="524"/>
      <c r="W55" s="538"/>
      <c r="X55" s="534">
        <f t="shared" si="13"/>
        <v>0</v>
      </c>
    </row>
    <row r="56" spans="1:24" ht="20.100000000000001" customHeight="1" x14ac:dyDescent="0.25">
      <c r="A56" s="202" t="str">
        <f>Datos!B75</f>
        <v>9.1</v>
      </c>
      <c r="B56" s="203" t="str">
        <f t="shared" ref="B56" si="17">IFERROR(VLOOKUP(A56,Tabla_Comp_Presup,2,FALSE),0)</f>
        <v xml:space="preserve">Contrapiso sobre losa de HºPº esp= 8cm </v>
      </c>
      <c r="C56" s="204"/>
      <c r="D56" s="4">
        <f>SUMIF(CyP!A:A,PTyCI!A56,CyP!I:I)</f>
        <v>0</v>
      </c>
      <c r="E56" s="505"/>
      <c r="F56" s="525"/>
      <c r="G56" s="524"/>
      <c r="H56" s="524"/>
      <c r="I56" s="524"/>
      <c r="J56" s="524"/>
      <c r="K56" s="524"/>
      <c r="L56" s="524"/>
      <c r="M56" s="524"/>
      <c r="N56" s="524"/>
      <c r="O56" s="524"/>
      <c r="P56" s="524"/>
      <c r="Q56" s="524"/>
      <c r="R56" s="524"/>
      <c r="S56" s="524"/>
      <c r="T56" s="524"/>
      <c r="U56" s="524"/>
      <c r="V56" s="524"/>
      <c r="W56" s="538"/>
      <c r="X56" s="534">
        <f t="shared" si="13"/>
        <v>0</v>
      </c>
    </row>
    <row r="57" spans="1:24" ht="20.100000000000001" customHeight="1" x14ac:dyDescent="0.25">
      <c r="A57" s="202" t="str">
        <f>Datos!B76</f>
        <v>9.2</v>
      </c>
      <c r="B57" s="203" t="str">
        <f t="shared" si="16"/>
        <v>Contrapiso para terrazas o azoteas con pendiente según documentación de Proyecto</v>
      </c>
      <c r="C57" s="204"/>
      <c r="D57" s="4">
        <f>SUMIF(CyP!A:A,PTyCI!A57,CyP!I:I)</f>
        <v>0</v>
      </c>
      <c r="E57" s="505"/>
      <c r="F57" s="525"/>
      <c r="G57" s="524"/>
      <c r="H57" s="524"/>
      <c r="I57" s="524"/>
      <c r="J57" s="524"/>
      <c r="K57" s="524"/>
      <c r="L57" s="524"/>
      <c r="M57" s="524"/>
      <c r="N57" s="524"/>
      <c r="O57" s="524"/>
      <c r="P57" s="524"/>
      <c r="Q57" s="524"/>
      <c r="R57" s="524"/>
      <c r="S57" s="524"/>
      <c r="T57" s="524"/>
      <c r="U57" s="524"/>
      <c r="V57" s="524"/>
      <c r="W57" s="538"/>
      <c r="X57" s="534">
        <f t="shared" si="13"/>
        <v>0</v>
      </c>
    </row>
    <row r="58" spans="1:24" ht="20.100000000000001" customHeight="1" x14ac:dyDescent="0.25">
      <c r="A58" s="202" t="str">
        <f>Datos!B77</f>
        <v>9.3</v>
      </c>
      <c r="B58" s="203" t="str">
        <f t="shared" si="16"/>
        <v>Banquina bajo mueble de cocina</v>
      </c>
      <c r="C58" s="204"/>
      <c r="D58" s="4">
        <f>SUMIF(CyP!A:A,PTyCI!A58,CyP!I:I)</f>
        <v>0</v>
      </c>
      <c r="E58" s="505"/>
      <c r="F58" s="525"/>
      <c r="G58" s="524"/>
      <c r="H58" s="524"/>
      <c r="I58" s="524"/>
      <c r="J58" s="524"/>
      <c r="K58" s="524"/>
      <c r="L58" s="524"/>
      <c r="M58" s="524"/>
      <c r="N58" s="524"/>
      <c r="O58" s="524"/>
      <c r="P58" s="524"/>
      <c r="Q58" s="524"/>
      <c r="R58" s="524"/>
      <c r="S58" s="524"/>
      <c r="T58" s="524"/>
      <c r="U58" s="524"/>
      <c r="V58" s="524"/>
      <c r="W58" s="538"/>
      <c r="X58" s="534">
        <f t="shared" si="13"/>
        <v>0</v>
      </c>
    </row>
    <row r="59" spans="1:24" ht="20.100000000000001" customHeight="1" x14ac:dyDescent="0.25">
      <c r="A59" s="202" t="str">
        <f>Datos!B78</f>
        <v>9.4</v>
      </c>
      <c r="B59" s="203" t="str">
        <f t="shared" ref="B59:B72" si="18">IFERROR(VLOOKUP(A59,Tabla_Comp_Presup,2,FALSE),0)</f>
        <v xml:space="preserve">Carpeta bajo ceramico </v>
      </c>
      <c r="C59" s="204"/>
      <c r="D59" s="4">
        <f>SUMIF(CyP!A:A,PTyCI!A59,CyP!I:I)</f>
        <v>0</v>
      </c>
      <c r="E59" s="505"/>
      <c r="F59" s="531"/>
      <c r="G59" s="524"/>
      <c r="H59" s="524"/>
      <c r="I59" s="524"/>
      <c r="J59" s="524"/>
      <c r="K59" s="524"/>
      <c r="L59" s="524"/>
      <c r="M59" s="524"/>
      <c r="N59" s="524"/>
      <c r="O59" s="524"/>
      <c r="P59" s="524"/>
      <c r="Q59" s="524"/>
      <c r="R59" s="524"/>
      <c r="S59" s="524"/>
      <c r="T59" s="524"/>
      <c r="U59" s="524"/>
      <c r="V59" s="524"/>
      <c r="W59" s="538"/>
      <c r="X59" s="534">
        <f t="shared" si="13"/>
        <v>0</v>
      </c>
    </row>
    <row r="60" spans="1:24" ht="20.100000000000001" customHeight="1" x14ac:dyDescent="0.25">
      <c r="A60" s="202">
        <f>Datos!B79</f>
        <v>10</v>
      </c>
      <c r="B60" s="203" t="str">
        <f t="shared" si="18"/>
        <v xml:space="preserve">PISOS Y ZOCALOS </v>
      </c>
      <c r="C60" s="204"/>
      <c r="D60" s="4">
        <f>SUMIF(CyP!A:A,PTyCI!A60,CyP!I:I)</f>
        <v>0</v>
      </c>
      <c r="E60" s="505"/>
      <c r="F60" s="531"/>
      <c r="G60" s="524"/>
      <c r="H60" s="524"/>
      <c r="I60" s="524"/>
      <c r="J60" s="524"/>
      <c r="K60" s="524"/>
      <c r="L60" s="524"/>
      <c r="M60" s="524"/>
      <c r="N60" s="524"/>
      <c r="O60" s="524"/>
      <c r="P60" s="524"/>
      <c r="Q60" s="524"/>
      <c r="R60" s="524"/>
      <c r="S60" s="524"/>
      <c r="T60" s="524"/>
      <c r="U60" s="524"/>
      <c r="V60" s="524"/>
      <c r="W60" s="538"/>
      <c r="X60" s="534">
        <f t="shared" si="13"/>
        <v>0</v>
      </c>
    </row>
    <row r="61" spans="1:24" ht="20.100000000000001" customHeight="1" x14ac:dyDescent="0.25">
      <c r="A61" s="202" t="str">
        <f>Datos!B80</f>
        <v>10.1</v>
      </c>
      <c r="B61" s="203" t="str">
        <f t="shared" si="18"/>
        <v>Piso ceramico de primera calidad</v>
      </c>
      <c r="C61" s="204"/>
      <c r="D61" s="4">
        <f>SUMIF(CyP!A:A,PTyCI!A61,CyP!I:I)</f>
        <v>0</v>
      </c>
      <c r="E61" s="505"/>
      <c r="F61" s="531"/>
      <c r="G61" s="524"/>
      <c r="H61" s="524"/>
      <c r="I61" s="524"/>
      <c r="J61" s="524"/>
      <c r="K61" s="524"/>
      <c r="L61" s="524"/>
      <c r="M61" s="524"/>
      <c r="N61" s="524"/>
      <c r="O61" s="524"/>
      <c r="P61" s="524"/>
      <c r="Q61" s="524"/>
      <c r="R61" s="524"/>
      <c r="S61" s="524"/>
      <c r="T61" s="524"/>
      <c r="U61" s="524"/>
      <c r="V61" s="524"/>
      <c r="W61" s="538"/>
      <c r="X61" s="534">
        <f t="shared" si="13"/>
        <v>0</v>
      </c>
    </row>
    <row r="62" spans="1:24" ht="20.100000000000001" customHeight="1" x14ac:dyDescent="0.25">
      <c r="A62" s="202" t="str">
        <f>Datos!B81</f>
        <v>10.2</v>
      </c>
      <c r="B62" s="203" t="str">
        <f t="shared" si="18"/>
        <v>Zocalo ceramico</v>
      </c>
      <c r="C62" s="204"/>
      <c r="D62" s="4">
        <f>SUMIF(CyP!A:A,PTyCI!A62,CyP!I:I)</f>
        <v>0</v>
      </c>
      <c r="E62" s="505"/>
      <c r="F62" s="531"/>
      <c r="G62" s="524"/>
      <c r="H62" s="524"/>
      <c r="I62" s="524"/>
      <c r="J62" s="524"/>
      <c r="K62" s="524"/>
      <c r="L62" s="524"/>
      <c r="M62" s="524"/>
      <c r="N62" s="524"/>
      <c r="O62" s="524"/>
      <c r="P62" s="524"/>
      <c r="Q62" s="524"/>
      <c r="R62" s="524"/>
      <c r="S62" s="524"/>
      <c r="T62" s="524"/>
      <c r="U62" s="524"/>
      <c r="V62" s="524"/>
      <c r="W62" s="538"/>
      <c r="X62" s="534">
        <f t="shared" si="13"/>
        <v>0</v>
      </c>
    </row>
    <row r="63" spans="1:24" ht="20.100000000000001" customHeight="1" x14ac:dyDescent="0.25">
      <c r="A63" s="202">
        <f>Datos!B82</f>
        <v>11</v>
      </c>
      <c r="B63" s="203" t="str">
        <f t="shared" si="18"/>
        <v xml:space="preserve">CIELORRASOS  </v>
      </c>
      <c r="C63" s="204"/>
      <c r="D63" s="4">
        <f>SUMIF(CyP!A:A,PTyCI!A63,CyP!I:I)</f>
        <v>0</v>
      </c>
      <c r="E63" s="505"/>
      <c r="F63" s="531"/>
      <c r="G63" s="524"/>
      <c r="H63" s="524"/>
      <c r="I63" s="524"/>
      <c r="J63" s="524"/>
      <c r="K63" s="524"/>
      <c r="L63" s="524"/>
      <c r="M63" s="524"/>
      <c r="N63" s="524"/>
      <c r="O63" s="524"/>
      <c r="P63" s="524"/>
      <c r="Q63" s="524"/>
      <c r="R63" s="524"/>
      <c r="S63" s="524"/>
      <c r="T63" s="524"/>
      <c r="U63" s="524"/>
      <c r="V63" s="524"/>
      <c r="W63" s="538"/>
      <c r="X63" s="534">
        <f t="shared" si="13"/>
        <v>0</v>
      </c>
    </row>
    <row r="64" spans="1:24" ht="20.100000000000001" customHeight="1" x14ac:dyDescent="0.25">
      <c r="A64" s="202" t="str">
        <f>Datos!B83</f>
        <v>11.1</v>
      </c>
      <c r="B64" s="203" t="str">
        <f t="shared" si="18"/>
        <v>Cielorraso aplicado enlucido de yeso</v>
      </c>
      <c r="C64" s="204"/>
      <c r="D64" s="4">
        <f>SUMIF(CyP!A:A,PTyCI!A64,CyP!I:I)</f>
        <v>0</v>
      </c>
      <c r="E64" s="505"/>
      <c r="F64" s="531"/>
      <c r="G64" s="524"/>
      <c r="H64" s="524"/>
      <c r="I64" s="524"/>
      <c r="J64" s="524"/>
      <c r="K64" s="524"/>
      <c r="L64" s="524"/>
      <c r="M64" s="524"/>
      <c r="N64" s="524"/>
      <c r="O64" s="524"/>
      <c r="P64" s="524"/>
      <c r="Q64" s="524"/>
      <c r="R64" s="524"/>
      <c r="S64" s="524"/>
      <c r="T64" s="524"/>
      <c r="U64" s="524"/>
      <c r="V64" s="524"/>
      <c r="W64" s="538"/>
      <c r="X64" s="534">
        <f t="shared" si="13"/>
        <v>0</v>
      </c>
    </row>
    <row r="65" spans="1:24" ht="20.100000000000001" customHeight="1" x14ac:dyDescent="0.25">
      <c r="A65" s="202" t="str">
        <f>Datos!B84</f>
        <v>11.2</v>
      </c>
      <c r="B65" s="203" t="str">
        <f t="shared" si="18"/>
        <v>Suspendidos de placa de roca de yeso resistente a la humedad ( con proteccion acustica)</v>
      </c>
      <c r="C65" s="204"/>
      <c r="D65" s="4">
        <f>SUMIF(CyP!A:A,PTyCI!A65,CyP!I:I)</f>
        <v>0</v>
      </c>
      <c r="E65" s="505"/>
      <c r="F65" s="531"/>
      <c r="G65" s="524"/>
      <c r="H65" s="524"/>
      <c r="I65" s="524"/>
      <c r="J65" s="524"/>
      <c r="K65" s="524"/>
      <c r="L65" s="524"/>
      <c r="M65" s="524"/>
      <c r="N65" s="524"/>
      <c r="O65" s="524"/>
      <c r="P65" s="524"/>
      <c r="Q65" s="524"/>
      <c r="R65" s="524"/>
      <c r="S65" s="524"/>
      <c r="T65" s="524"/>
      <c r="U65" s="524"/>
      <c r="V65" s="524"/>
      <c r="W65" s="538"/>
      <c r="X65" s="534">
        <f t="shared" si="13"/>
        <v>0</v>
      </c>
    </row>
    <row r="66" spans="1:24" ht="20.100000000000001" customHeight="1" x14ac:dyDescent="0.25">
      <c r="A66" s="202">
        <f>Datos!B85</f>
        <v>12</v>
      </c>
      <c r="B66" s="203" t="str">
        <f t="shared" si="18"/>
        <v xml:space="preserve">CUBIERTA </v>
      </c>
      <c r="C66" s="204"/>
      <c r="D66" s="4">
        <f>SUMIF(CyP!A:A,PTyCI!A66,CyP!I:I)</f>
        <v>0</v>
      </c>
      <c r="E66" s="505"/>
      <c r="F66" s="531"/>
      <c r="G66" s="524"/>
      <c r="H66" s="524"/>
      <c r="I66" s="524"/>
      <c r="J66" s="524"/>
      <c r="K66" s="524"/>
      <c r="L66" s="524"/>
      <c r="M66" s="524"/>
      <c r="N66" s="524"/>
      <c r="O66" s="524"/>
      <c r="P66" s="524"/>
      <c r="Q66" s="524"/>
      <c r="R66" s="524"/>
      <c r="S66" s="524"/>
      <c r="T66" s="524"/>
      <c r="U66" s="524"/>
      <c r="V66" s="524"/>
      <c r="W66" s="538"/>
      <c r="X66" s="534">
        <f t="shared" si="13"/>
        <v>0</v>
      </c>
    </row>
    <row r="67" spans="1:24" ht="20.100000000000001" customHeight="1" x14ac:dyDescent="0.25">
      <c r="A67" s="202" t="str">
        <f>Datos!B86</f>
        <v>12.1</v>
      </c>
      <c r="B67" s="203" t="str">
        <f t="shared" si="18"/>
        <v>Hormigón Liviano con Pendiente | esp min 5 cm</v>
      </c>
      <c r="C67" s="204"/>
      <c r="D67" s="4">
        <f>SUMIF(CyP!A:A,PTyCI!A67,CyP!I:I)</f>
        <v>0</v>
      </c>
      <c r="E67" s="505"/>
      <c r="F67" s="531"/>
      <c r="G67" s="524"/>
      <c r="H67" s="524"/>
      <c r="I67" s="524"/>
      <c r="J67" s="524"/>
      <c r="K67" s="524"/>
      <c r="L67" s="524"/>
      <c r="M67" s="524"/>
      <c r="N67" s="524"/>
      <c r="O67" s="524"/>
      <c r="P67" s="524"/>
      <c r="Q67" s="524"/>
      <c r="R67" s="524"/>
      <c r="S67" s="524"/>
      <c r="T67" s="524"/>
      <c r="U67" s="524"/>
      <c r="V67" s="524"/>
      <c r="W67" s="538"/>
      <c r="X67" s="534">
        <f t="shared" si="13"/>
        <v>0</v>
      </c>
    </row>
    <row r="68" spans="1:24" ht="20.100000000000001" customHeight="1" x14ac:dyDescent="0.25">
      <c r="A68" s="202" t="str">
        <f>Datos!B87</f>
        <v>12.2</v>
      </c>
      <c r="B68" s="203" t="str">
        <f t="shared" si="18"/>
        <v>Pintura asfáltica para imprimación de membrana</v>
      </c>
      <c r="C68" s="204"/>
      <c r="D68" s="4">
        <f>SUMIF(CyP!A:A,PTyCI!A68,CyP!I:I)</f>
        <v>0</v>
      </c>
      <c r="E68" s="505"/>
      <c r="F68" s="531"/>
      <c r="G68" s="524"/>
      <c r="H68" s="524"/>
      <c r="I68" s="524"/>
      <c r="J68" s="524"/>
      <c r="K68" s="524"/>
      <c r="L68" s="524"/>
      <c r="M68" s="524"/>
      <c r="N68" s="524"/>
      <c r="O68" s="524"/>
      <c r="P68" s="524"/>
      <c r="Q68" s="524"/>
      <c r="R68" s="524"/>
      <c r="S68" s="524"/>
      <c r="T68" s="524"/>
      <c r="U68" s="524"/>
      <c r="V68" s="524"/>
      <c r="W68" s="538"/>
      <c r="X68" s="534">
        <f t="shared" si="13"/>
        <v>0</v>
      </c>
    </row>
    <row r="69" spans="1:24" ht="20.100000000000001" customHeight="1" x14ac:dyDescent="0.25">
      <c r="A69" s="202" t="str">
        <f>Datos!B88</f>
        <v>12.3</v>
      </c>
      <c r="B69" s="203" t="str">
        <f t="shared" si="18"/>
        <v>Membrana Asfáltica 4mm terminación aluminio gofrado de 40 micrones</v>
      </c>
      <c r="C69" s="204"/>
      <c r="D69" s="4">
        <f>SUMIF(CyP!A:A,PTyCI!A69,CyP!I:I)</f>
        <v>0</v>
      </c>
      <c r="E69" s="505"/>
      <c r="F69" s="531"/>
      <c r="G69" s="524"/>
      <c r="H69" s="524"/>
      <c r="I69" s="524"/>
      <c r="J69" s="524"/>
      <c r="K69" s="524"/>
      <c r="L69" s="524"/>
      <c r="M69" s="524"/>
      <c r="N69" s="524"/>
      <c r="O69" s="524"/>
      <c r="P69" s="524"/>
      <c r="Q69" s="524"/>
      <c r="R69" s="524"/>
      <c r="S69" s="524"/>
      <c r="T69" s="524"/>
      <c r="U69" s="524"/>
      <c r="V69" s="524"/>
      <c r="W69" s="538"/>
      <c r="X69" s="534">
        <f t="shared" si="13"/>
        <v>0</v>
      </c>
    </row>
    <row r="70" spans="1:24" ht="20.100000000000001" customHeight="1" x14ac:dyDescent="0.25">
      <c r="A70" s="202">
        <f>Datos!B89</f>
        <v>13</v>
      </c>
      <c r="B70" s="203" t="str">
        <f t="shared" si="18"/>
        <v>CARPINTERIAS</v>
      </c>
      <c r="C70" s="204"/>
      <c r="D70" s="4">
        <f>SUMIF(CyP!A:A,PTyCI!A70,CyP!I:I)</f>
        <v>0</v>
      </c>
      <c r="E70" s="505"/>
      <c r="F70" s="531"/>
      <c r="G70" s="524"/>
      <c r="H70" s="524"/>
      <c r="I70" s="524"/>
      <c r="J70" s="524"/>
      <c r="K70" s="524"/>
      <c r="L70" s="524"/>
      <c r="M70" s="524"/>
      <c r="N70" s="524"/>
      <c r="O70" s="524"/>
      <c r="P70" s="524"/>
      <c r="Q70" s="524"/>
      <c r="R70" s="524"/>
      <c r="S70" s="524"/>
      <c r="T70" s="524"/>
      <c r="U70" s="524"/>
      <c r="V70" s="524"/>
      <c r="W70" s="538"/>
      <c r="X70" s="534">
        <f t="shared" si="13"/>
        <v>0</v>
      </c>
    </row>
    <row r="71" spans="1:24" ht="20.100000000000001" customHeight="1" x14ac:dyDescent="0.25">
      <c r="A71" s="202" t="str">
        <f>Datos!B90</f>
        <v>13.1</v>
      </c>
      <c r="B71" s="203" t="str">
        <f t="shared" si="18"/>
        <v>Carpinterías interiores de madera</v>
      </c>
      <c r="C71" s="204"/>
      <c r="D71" s="4">
        <f>SUMIF(CyP!A:A,PTyCI!A71,CyP!I:I)</f>
        <v>0</v>
      </c>
      <c r="E71" s="505"/>
      <c r="F71" s="531"/>
      <c r="G71" s="524"/>
      <c r="H71" s="524"/>
      <c r="I71" s="524"/>
      <c r="J71" s="524"/>
      <c r="K71" s="524"/>
      <c r="L71" s="524"/>
      <c r="M71" s="524"/>
      <c r="N71" s="524"/>
      <c r="O71" s="524"/>
      <c r="P71" s="524"/>
      <c r="Q71" s="524"/>
      <c r="R71" s="524"/>
      <c r="S71" s="524"/>
      <c r="T71" s="524"/>
      <c r="U71" s="524"/>
      <c r="V71" s="524"/>
      <c r="W71" s="538"/>
      <c r="X71" s="534">
        <f t="shared" si="13"/>
        <v>0</v>
      </c>
    </row>
    <row r="72" spans="1:24" ht="20.100000000000001" customHeight="1" x14ac:dyDescent="0.25">
      <c r="A72" s="202" t="str">
        <f>Datos!B91</f>
        <v>13.2</v>
      </c>
      <c r="B72" s="203" t="str">
        <f t="shared" si="18"/>
        <v>Puerta de ingreso a vivienda (2.05 x 0.9)</v>
      </c>
      <c r="C72" s="204"/>
      <c r="D72" s="4">
        <f>SUMIF(CyP!A:A,PTyCI!A72,CyP!I:I)</f>
        <v>0</v>
      </c>
      <c r="E72" s="505"/>
      <c r="F72" s="531"/>
      <c r="G72" s="524"/>
      <c r="H72" s="524"/>
      <c r="I72" s="524"/>
      <c r="J72" s="524"/>
      <c r="K72" s="524"/>
      <c r="L72" s="524"/>
      <c r="M72" s="524"/>
      <c r="N72" s="524"/>
      <c r="O72" s="524"/>
      <c r="P72" s="524"/>
      <c r="Q72" s="524"/>
      <c r="R72" s="524"/>
      <c r="S72" s="524"/>
      <c r="T72" s="524"/>
      <c r="U72" s="524"/>
      <c r="V72" s="524"/>
      <c r="W72" s="538"/>
      <c r="X72" s="534">
        <f t="shared" si="13"/>
        <v>0</v>
      </c>
    </row>
    <row r="73" spans="1:24" ht="20.100000000000001" customHeight="1" x14ac:dyDescent="0.25">
      <c r="A73" s="202" t="str">
        <f>Datos!B92</f>
        <v>13.3</v>
      </c>
      <c r="B73" s="203" t="str">
        <f t="shared" ref="B73:B92" si="19">IFERROR(VLOOKUP(A73,Tabla_Comp_Presup,2,FALSE),0)</f>
        <v>Ventanas Tipo C02(2,40 x 1,55)</v>
      </c>
      <c r="C73" s="204"/>
      <c r="D73" s="4">
        <f>SUMIF(CyP!A:A,PTyCI!A73,CyP!I:I)</f>
        <v>0</v>
      </c>
      <c r="E73" s="505"/>
      <c r="F73" s="531"/>
      <c r="G73" s="524"/>
      <c r="H73" s="524"/>
      <c r="I73" s="524"/>
      <c r="J73" s="524"/>
      <c r="K73" s="524"/>
      <c r="L73" s="524"/>
      <c r="M73" s="524"/>
      <c r="N73" s="524"/>
      <c r="O73" s="524"/>
      <c r="P73" s="524"/>
      <c r="Q73" s="524"/>
      <c r="R73" s="524"/>
      <c r="S73" s="524"/>
      <c r="T73" s="524"/>
      <c r="U73" s="524"/>
      <c r="V73" s="524"/>
      <c r="W73" s="538"/>
      <c r="X73" s="534">
        <f t="shared" si="13"/>
        <v>0</v>
      </c>
    </row>
    <row r="74" spans="1:24" ht="20.100000000000001" customHeight="1" x14ac:dyDescent="0.25">
      <c r="A74" s="202" t="str">
        <f>Datos!B93</f>
        <v>13.4</v>
      </c>
      <c r="B74" s="203" t="str">
        <f t="shared" si="19"/>
        <v>Ventanas Tipo C05 (1,20 x 1,55)</v>
      </c>
      <c r="C74" s="204"/>
      <c r="D74" s="4">
        <f>SUMIF(CyP!A:A,PTyCI!A74,CyP!I:I)</f>
        <v>0</v>
      </c>
      <c r="E74" s="505"/>
      <c r="F74" s="531"/>
      <c r="G74" s="524"/>
      <c r="H74" s="524"/>
      <c r="I74" s="524"/>
      <c r="J74" s="524"/>
      <c r="K74" s="524"/>
      <c r="L74" s="524"/>
      <c r="M74" s="524"/>
      <c r="N74" s="524"/>
      <c r="O74" s="524"/>
      <c r="P74" s="524"/>
      <c r="Q74" s="524"/>
      <c r="R74" s="524"/>
      <c r="S74" s="524"/>
      <c r="T74" s="524"/>
      <c r="U74" s="524"/>
      <c r="V74" s="524"/>
      <c r="W74" s="538"/>
      <c r="X74" s="534">
        <f t="shared" si="13"/>
        <v>0</v>
      </c>
    </row>
    <row r="75" spans="1:24" ht="20.100000000000001" customHeight="1" x14ac:dyDescent="0.25">
      <c r="A75" s="202">
        <f>Datos!B94</f>
        <v>14</v>
      </c>
      <c r="B75" s="203" t="str">
        <f t="shared" si="19"/>
        <v>MARMOLERÍA</v>
      </c>
      <c r="C75" s="204"/>
      <c r="D75" s="4">
        <f>SUMIF(CyP!A:A,PTyCI!A75,CyP!I:I)</f>
        <v>0</v>
      </c>
      <c r="E75" s="505"/>
      <c r="F75" s="531"/>
      <c r="G75" s="524"/>
      <c r="H75" s="524"/>
      <c r="I75" s="524"/>
      <c r="J75" s="524"/>
      <c r="K75" s="524"/>
      <c r="L75" s="524"/>
      <c r="M75" s="524"/>
      <c r="N75" s="524"/>
      <c r="O75" s="524"/>
      <c r="P75" s="524"/>
      <c r="Q75" s="524"/>
      <c r="R75" s="524"/>
      <c r="S75" s="524"/>
      <c r="T75" s="524"/>
      <c r="U75" s="524"/>
      <c r="V75" s="524"/>
      <c r="W75" s="538"/>
      <c r="X75" s="534">
        <f t="shared" si="13"/>
        <v>0</v>
      </c>
    </row>
    <row r="76" spans="1:24" ht="20.100000000000001" customHeight="1" x14ac:dyDescent="0.25">
      <c r="A76" s="202" t="str">
        <f>Datos!B95</f>
        <v>14.1</v>
      </c>
      <c r="B76" s="203" t="str">
        <f t="shared" si="19"/>
        <v>Mesada de cocina en granito</v>
      </c>
      <c r="C76" s="204"/>
      <c r="D76" s="4">
        <f>SUMIF(CyP!A:A,PTyCI!A76,CyP!I:I)</f>
        <v>0</v>
      </c>
      <c r="E76" s="505"/>
      <c r="F76" s="531"/>
      <c r="G76" s="524"/>
      <c r="H76" s="524"/>
      <c r="I76" s="524"/>
      <c r="J76" s="524"/>
      <c r="K76" s="524"/>
      <c r="L76" s="524"/>
      <c r="M76" s="524"/>
      <c r="N76" s="524"/>
      <c r="O76" s="524"/>
      <c r="P76" s="524"/>
      <c r="Q76" s="524"/>
      <c r="R76" s="524"/>
      <c r="S76" s="524"/>
      <c r="T76" s="524"/>
      <c r="U76" s="524"/>
      <c r="V76" s="524"/>
      <c r="W76" s="538"/>
      <c r="X76" s="534">
        <f t="shared" si="13"/>
        <v>0</v>
      </c>
    </row>
    <row r="77" spans="1:24" ht="20.100000000000001" customHeight="1" x14ac:dyDescent="0.25">
      <c r="A77" s="202">
        <f>Datos!B96</f>
        <v>15</v>
      </c>
      <c r="B77" s="203" t="str">
        <f t="shared" si="19"/>
        <v>INSTALACIÓN ELÉCTRICA</v>
      </c>
      <c r="C77" s="204"/>
      <c r="D77" s="4">
        <f>SUMIF(CyP!A:A,PTyCI!A77,CyP!I:I)</f>
        <v>0</v>
      </c>
      <c r="E77" s="505"/>
      <c r="F77" s="531"/>
      <c r="G77" s="524"/>
      <c r="H77" s="524"/>
      <c r="I77" s="524"/>
      <c r="J77" s="524"/>
      <c r="K77" s="524"/>
      <c r="L77" s="524"/>
      <c r="M77" s="524"/>
      <c r="N77" s="524"/>
      <c r="O77" s="524"/>
      <c r="P77" s="524"/>
      <c r="Q77" s="524"/>
      <c r="R77" s="524"/>
      <c r="S77" s="524"/>
      <c r="T77" s="524"/>
      <c r="U77" s="524"/>
      <c r="V77" s="524"/>
      <c r="W77" s="538"/>
      <c r="X77" s="534">
        <f t="shared" si="13"/>
        <v>0</v>
      </c>
    </row>
    <row r="78" spans="1:24" ht="20.100000000000001" customHeight="1" x14ac:dyDescent="0.25">
      <c r="A78" s="202" t="str">
        <f>Datos!B97</f>
        <v>15.1</v>
      </c>
      <c r="B78" s="203" t="str">
        <f t="shared" si="19"/>
        <v>Instalación eléctrica</v>
      </c>
      <c r="C78" s="204"/>
      <c r="D78" s="4">
        <f>SUMIF(CyP!A:A,PTyCI!A78,CyP!I:I)</f>
        <v>0</v>
      </c>
      <c r="E78" s="505"/>
      <c r="F78" s="531"/>
      <c r="G78" s="524"/>
      <c r="H78" s="524"/>
      <c r="I78" s="524"/>
      <c r="J78" s="524"/>
      <c r="K78" s="524"/>
      <c r="L78" s="524"/>
      <c r="M78" s="524"/>
      <c r="N78" s="524"/>
      <c r="O78" s="524"/>
      <c r="P78" s="524"/>
      <c r="Q78" s="524"/>
      <c r="R78" s="524"/>
      <c r="S78" s="524"/>
      <c r="T78" s="524"/>
      <c r="U78" s="524"/>
      <c r="V78" s="524"/>
      <c r="W78" s="538"/>
      <c r="X78" s="534">
        <f t="shared" si="13"/>
        <v>0</v>
      </c>
    </row>
    <row r="79" spans="1:24" ht="20.100000000000001" customHeight="1" x14ac:dyDescent="0.25">
      <c r="A79" s="202" t="str">
        <f>Datos!B98</f>
        <v>15.2</v>
      </c>
      <c r="B79" s="203" t="str">
        <f t="shared" si="19"/>
        <v>Tablero principal</v>
      </c>
      <c r="C79" s="204"/>
      <c r="D79" s="4">
        <f>SUMIF(CyP!A:A,PTyCI!A79,CyP!I:I)</f>
        <v>0</v>
      </c>
      <c r="E79" s="505"/>
      <c r="F79" s="531"/>
      <c r="G79" s="524"/>
      <c r="H79" s="524"/>
      <c r="I79" s="524"/>
      <c r="J79" s="524"/>
      <c r="K79" s="524"/>
      <c r="L79" s="524"/>
      <c r="M79" s="524"/>
      <c r="N79" s="524"/>
      <c r="O79" s="524"/>
      <c r="P79" s="524"/>
      <c r="Q79" s="524"/>
      <c r="R79" s="524"/>
      <c r="S79" s="524"/>
      <c r="T79" s="524"/>
      <c r="U79" s="524"/>
      <c r="V79" s="524"/>
      <c r="W79" s="538"/>
      <c r="X79" s="534">
        <f t="shared" si="13"/>
        <v>0</v>
      </c>
    </row>
    <row r="80" spans="1:24" ht="20.100000000000001" customHeight="1" x14ac:dyDescent="0.25">
      <c r="A80" s="202" t="str">
        <f>Datos!B99</f>
        <v>15.3</v>
      </c>
      <c r="B80" s="203" t="str">
        <f t="shared" si="19"/>
        <v>Tablero secundarios</v>
      </c>
      <c r="C80" s="204"/>
      <c r="D80" s="4">
        <f>SUMIF(CyP!A:A,PTyCI!A80,CyP!I:I)</f>
        <v>0</v>
      </c>
      <c r="E80" s="505"/>
      <c r="F80" s="531"/>
      <c r="G80" s="524"/>
      <c r="H80" s="524"/>
      <c r="I80" s="524"/>
      <c r="J80" s="524"/>
      <c r="K80" s="524"/>
      <c r="L80" s="524"/>
      <c r="M80" s="524"/>
      <c r="N80" s="524"/>
      <c r="O80" s="524"/>
      <c r="P80" s="524"/>
      <c r="Q80" s="524"/>
      <c r="R80" s="524"/>
      <c r="S80" s="524"/>
      <c r="T80" s="524"/>
      <c r="U80" s="524"/>
      <c r="V80" s="524"/>
      <c r="W80" s="538"/>
      <c r="X80" s="534">
        <f t="shared" si="13"/>
        <v>0</v>
      </c>
    </row>
    <row r="81" spans="1:24" ht="20.100000000000001" customHeight="1" x14ac:dyDescent="0.25">
      <c r="A81" s="202" t="str">
        <f>Datos!B100</f>
        <v>15.4</v>
      </c>
      <c r="B81" s="203" t="str">
        <f t="shared" si="19"/>
        <v>Bocas iluminación UF</v>
      </c>
      <c r="C81" s="204"/>
      <c r="D81" s="4">
        <f>SUMIF(CyP!A:A,PTyCI!A81,CyP!I:I)</f>
        <v>0</v>
      </c>
      <c r="E81" s="505"/>
      <c r="F81" s="531"/>
      <c r="G81" s="524"/>
      <c r="H81" s="524"/>
      <c r="I81" s="524"/>
      <c r="J81" s="524"/>
      <c r="K81" s="524"/>
      <c r="L81" s="524"/>
      <c r="M81" s="524"/>
      <c r="N81" s="524"/>
      <c r="O81" s="524"/>
      <c r="P81" s="524"/>
      <c r="Q81" s="524"/>
      <c r="R81" s="524"/>
      <c r="S81" s="524"/>
      <c r="T81" s="524"/>
      <c r="U81" s="524"/>
      <c r="V81" s="524"/>
      <c r="W81" s="538"/>
      <c r="X81" s="534">
        <f t="shared" si="13"/>
        <v>0</v>
      </c>
    </row>
    <row r="82" spans="1:24" ht="20.100000000000001" customHeight="1" x14ac:dyDescent="0.25">
      <c r="A82" s="202" t="str">
        <f>Datos!B101</f>
        <v>15.5</v>
      </c>
      <c r="B82" s="203" t="str">
        <f t="shared" si="19"/>
        <v>Bocas iluminación Uc</v>
      </c>
      <c r="C82" s="204"/>
      <c r="D82" s="4">
        <f>SUMIF(CyP!A:A,PTyCI!A82,CyP!I:I)</f>
        <v>0</v>
      </c>
      <c r="E82" s="505"/>
      <c r="F82" s="531"/>
      <c r="G82" s="524"/>
      <c r="H82" s="524"/>
      <c r="I82" s="524"/>
      <c r="J82" s="524"/>
      <c r="K82" s="524"/>
      <c r="L82" s="524"/>
      <c r="M82" s="524"/>
      <c r="N82" s="524"/>
      <c r="O82" s="524"/>
      <c r="P82" s="524"/>
      <c r="Q82" s="524"/>
      <c r="R82" s="524"/>
      <c r="S82" s="524"/>
      <c r="T82" s="524"/>
      <c r="U82" s="524"/>
      <c r="V82" s="524"/>
      <c r="W82" s="538"/>
      <c r="X82" s="534">
        <f t="shared" ref="X82:X139" si="20">SUM(F82:W82)</f>
        <v>0</v>
      </c>
    </row>
    <row r="83" spans="1:24" ht="20.100000000000001" customHeight="1" x14ac:dyDescent="0.25">
      <c r="A83" s="202" t="str">
        <f>Datos!B102</f>
        <v>15.6</v>
      </c>
      <c r="B83" s="203" t="str">
        <f t="shared" si="19"/>
        <v>Boca toma corriente uso común</v>
      </c>
      <c r="C83" s="204"/>
      <c r="D83" s="4">
        <f>SUMIF(CyP!A:A,PTyCI!A83,CyP!I:I)</f>
        <v>0</v>
      </c>
      <c r="E83" s="505"/>
      <c r="F83" s="531"/>
      <c r="G83" s="524"/>
      <c r="H83" s="524"/>
      <c r="I83" s="524"/>
      <c r="J83" s="524"/>
      <c r="K83" s="524"/>
      <c r="L83" s="524"/>
      <c r="M83" s="524"/>
      <c r="N83" s="524"/>
      <c r="O83" s="524"/>
      <c r="P83" s="524"/>
      <c r="Q83" s="524"/>
      <c r="R83" s="524"/>
      <c r="S83" s="524"/>
      <c r="T83" s="524"/>
      <c r="U83" s="524"/>
      <c r="V83" s="524"/>
      <c r="W83" s="538"/>
      <c r="X83" s="534">
        <f t="shared" si="20"/>
        <v>0</v>
      </c>
    </row>
    <row r="84" spans="1:24" ht="20.100000000000001" customHeight="1" x14ac:dyDescent="0.25">
      <c r="A84" s="202" t="str">
        <f>Datos!B103</f>
        <v>15.7</v>
      </c>
      <c r="B84" s="203" t="str">
        <f t="shared" si="19"/>
        <v>Llaves</v>
      </c>
      <c r="C84" s="204"/>
      <c r="D84" s="4">
        <f>SUMIF(CyP!A:A,PTyCI!A84,CyP!I:I)</f>
        <v>0</v>
      </c>
      <c r="E84" s="505"/>
      <c r="F84" s="531"/>
      <c r="G84" s="524"/>
      <c r="H84" s="524"/>
      <c r="I84" s="524"/>
      <c r="J84" s="524"/>
      <c r="K84" s="524"/>
      <c r="L84" s="524"/>
      <c r="M84" s="524"/>
      <c r="N84" s="524"/>
      <c r="O84" s="524"/>
      <c r="P84" s="524"/>
      <c r="Q84" s="524"/>
      <c r="R84" s="524"/>
      <c r="S84" s="524"/>
      <c r="T84" s="524"/>
      <c r="U84" s="524"/>
      <c r="V84" s="524"/>
      <c r="W84" s="538"/>
      <c r="X84" s="534">
        <f t="shared" si="20"/>
        <v>0</v>
      </c>
    </row>
    <row r="85" spans="1:24" ht="20.100000000000001" customHeight="1" x14ac:dyDescent="0.25">
      <c r="A85" s="202" t="str">
        <f>Datos!B104</f>
        <v>15.8</v>
      </c>
      <c r="B85" s="203" t="str">
        <f t="shared" si="19"/>
        <v xml:space="preserve">Boca teléfono, timbre, TV y portero </v>
      </c>
      <c r="C85" s="204"/>
      <c r="D85" s="4">
        <f>SUMIF(CyP!A:A,PTyCI!A85,CyP!I:I)</f>
        <v>0</v>
      </c>
      <c r="E85" s="505"/>
      <c r="F85" s="531"/>
      <c r="G85" s="524"/>
      <c r="H85" s="524"/>
      <c r="I85" s="524"/>
      <c r="J85" s="524"/>
      <c r="K85" s="524"/>
      <c r="L85" s="524"/>
      <c r="M85" s="524"/>
      <c r="N85" s="524"/>
      <c r="O85" s="524"/>
      <c r="P85" s="524"/>
      <c r="Q85" s="524"/>
      <c r="R85" s="524"/>
      <c r="S85" s="524"/>
      <c r="T85" s="524"/>
      <c r="U85" s="524"/>
      <c r="V85" s="524"/>
      <c r="W85" s="538"/>
      <c r="X85" s="534">
        <f t="shared" si="20"/>
        <v>0</v>
      </c>
    </row>
    <row r="86" spans="1:24" ht="20.100000000000001" customHeight="1" x14ac:dyDescent="0.25">
      <c r="A86" s="202" t="str">
        <f>Datos!B105</f>
        <v>15.9</v>
      </c>
      <c r="B86" s="203" t="str">
        <f t="shared" si="19"/>
        <v>Instalacion equipo luz de emergencia en espacios comunes</v>
      </c>
      <c r="C86" s="204"/>
      <c r="D86" s="4">
        <f>SUMIF(CyP!A:A,PTyCI!A86,CyP!I:I)</f>
        <v>0</v>
      </c>
      <c r="E86" s="505"/>
      <c r="F86" s="531"/>
      <c r="G86" s="524"/>
      <c r="H86" s="524"/>
      <c r="I86" s="524"/>
      <c r="J86" s="524"/>
      <c r="K86" s="524"/>
      <c r="L86" s="524"/>
      <c r="M86" s="524"/>
      <c r="N86" s="524"/>
      <c r="O86" s="524"/>
      <c r="P86" s="524"/>
      <c r="Q86" s="524"/>
      <c r="R86" s="524"/>
      <c r="S86" s="524"/>
      <c r="T86" s="524"/>
      <c r="U86" s="524"/>
      <c r="V86" s="524"/>
      <c r="W86" s="538"/>
      <c r="X86" s="534">
        <f t="shared" si="20"/>
        <v>0</v>
      </c>
    </row>
    <row r="87" spans="1:24" ht="20.100000000000001" customHeight="1" x14ac:dyDescent="0.25">
      <c r="A87" s="202" t="str">
        <f>Datos!B106</f>
        <v>15.10</v>
      </c>
      <c r="B87" s="203" t="str">
        <f t="shared" si="19"/>
        <v>Servicios generales / pat</v>
      </c>
      <c r="C87" s="204"/>
      <c r="D87" s="4">
        <f>SUMIF(CyP!A:A,PTyCI!A87,CyP!I:I)</f>
        <v>0</v>
      </c>
      <c r="E87" s="505"/>
      <c r="F87" s="531"/>
      <c r="G87" s="524"/>
      <c r="H87" s="524"/>
      <c r="I87" s="524"/>
      <c r="J87" s="524"/>
      <c r="K87" s="524"/>
      <c r="L87" s="524"/>
      <c r="M87" s="524"/>
      <c r="N87" s="524"/>
      <c r="O87" s="524"/>
      <c r="P87" s="524"/>
      <c r="Q87" s="524"/>
      <c r="R87" s="524"/>
      <c r="S87" s="524"/>
      <c r="T87" s="524"/>
      <c r="U87" s="524"/>
      <c r="V87" s="524"/>
      <c r="W87" s="538"/>
      <c r="X87" s="534">
        <f t="shared" si="20"/>
        <v>0</v>
      </c>
    </row>
    <row r="88" spans="1:24" ht="20.100000000000001" customHeight="1" x14ac:dyDescent="0.25">
      <c r="A88" s="202" t="str">
        <f>Datos!B107</f>
        <v>15.11</v>
      </c>
      <c r="B88" s="203" t="str">
        <f t="shared" si="19"/>
        <v>Instalación aire acondicionado</v>
      </c>
      <c r="C88" s="204"/>
      <c r="D88" s="4">
        <f>SUMIF(CyP!A:A,PTyCI!A88,CyP!I:I)</f>
        <v>0</v>
      </c>
      <c r="E88" s="505"/>
      <c r="F88" s="531"/>
      <c r="G88" s="524"/>
      <c r="H88" s="524"/>
      <c r="I88" s="524"/>
      <c r="J88" s="524"/>
      <c r="K88" s="524"/>
      <c r="L88" s="524"/>
      <c r="M88" s="524"/>
      <c r="N88" s="524"/>
      <c r="O88" s="524"/>
      <c r="P88" s="524"/>
      <c r="Q88" s="524"/>
      <c r="R88" s="524"/>
      <c r="S88" s="524"/>
      <c r="T88" s="524"/>
      <c r="U88" s="524"/>
      <c r="V88" s="524"/>
      <c r="W88" s="538"/>
      <c r="X88" s="534">
        <f t="shared" si="20"/>
        <v>0</v>
      </c>
    </row>
    <row r="89" spans="1:24" ht="20.100000000000001" customHeight="1" x14ac:dyDescent="0.25">
      <c r="A89" s="202" t="str">
        <f>Datos!B108</f>
        <v>15.12</v>
      </c>
      <c r="B89" s="203" t="str">
        <f t="shared" si="19"/>
        <v xml:space="preserve">Artefactos en locales comunes </v>
      </c>
      <c r="C89" s="204"/>
      <c r="D89" s="4">
        <f>SUMIF(CyP!A:A,PTyCI!A89,CyP!I:I)</f>
        <v>0</v>
      </c>
      <c r="E89" s="505"/>
      <c r="F89" s="531"/>
      <c r="G89" s="524"/>
      <c r="H89" s="524"/>
      <c r="I89" s="524"/>
      <c r="J89" s="524"/>
      <c r="K89" s="524"/>
      <c r="L89" s="524"/>
      <c r="M89" s="524"/>
      <c r="N89" s="524"/>
      <c r="O89" s="524"/>
      <c r="P89" s="524"/>
      <c r="Q89" s="524"/>
      <c r="R89" s="524"/>
      <c r="S89" s="524"/>
      <c r="T89" s="524"/>
      <c r="U89" s="524"/>
      <c r="V89" s="524"/>
      <c r="W89" s="538"/>
      <c r="X89" s="534">
        <f t="shared" si="20"/>
        <v>0</v>
      </c>
    </row>
    <row r="90" spans="1:24" ht="20.100000000000001" customHeight="1" x14ac:dyDescent="0.25">
      <c r="A90" s="202" t="str">
        <f>Datos!B109</f>
        <v>15.13</v>
      </c>
      <c r="B90" s="203" t="str">
        <f t="shared" si="19"/>
        <v>Canalizacion y cableado de comando calefon solar</v>
      </c>
      <c r="C90" s="204"/>
      <c r="D90" s="4">
        <f>SUMIF(CyP!A:A,PTyCI!A90,CyP!I:I)</f>
        <v>0</v>
      </c>
      <c r="E90" s="505"/>
      <c r="F90" s="531"/>
      <c r="G90" s="524"/>
      <c r="H90" s="524"/>
      <c r="I90" s="524"/>
      <c r="J90" s="524"/>
      <c r="K90" s="524"/>
      <c r="L90" s="524"/>
      <c r="M90" s="524"/>
      <c r="N90" s="524"/>
      <c r="O90" s="524"/>
      <c r="P90" s="524"/>
      <c r="Q90" s="524"/>
      <c r="R90" s="524"/>
      <c r="S90" s="524"/>
      <c r="T90" s="524"/>
      <c r="U90" s="524"/>
      <c r="V90" s="524"/>
      <c r="W90" s="538"/>
      <c r="X90" s="534">
        <f t="shared" si="20"/>
        <v>0</v>
      </c>
    </row>
    <row r="91" spans="1:24" ht="20.100000000000001" customHeight="1" x14ac:dyDescent="0.25">
      <c r="A91" s="202">
        <f>Datos!B110</f>
        <v>16</v>
      </c>
      <c r="B91" s="203" t="str">
        <f t="shared" si="19"/>
        <v>INSTALACIÓN SANITARIA</v>
      </c>
      <c r="C91" s="204"/>
      <c r="D91" s="4">
        <f>SUMIF(CyP!A:A,PTyCI!A91,CyP!I:I)</f>
        <v>0</v>
      </c>
      <c r="E91" s="505"/>
      <c r="F91" s="531"/>
      <c r="G91" s="524"/>
      <c r="H91" s="524"/>
      <c r="I91" s="524"/>
      <c r="J91" s="524"/>
      <c r="K91" s="524"/>
      <c r="L91" s="524"/>
      <c r="M91" s="524"/>
      <c r="N91" s="524"/>
      <c r="O91" s="524"/>
      <c r="P91" s="524"/>
      <c r="Q91" s="524"/>
      <c r="R91" s="524"/>
      <c r="S91" s="524"/>
      <c r="T91" s="524"/>
      <c r="U91" s="524"/>
      <c r="V91" s="524"/>
      <c r="W91" s="538"/>
      <c r="X91" s="534">
        <f t="shared" si="20"/>
        <v>0</v>
      </c>
    </row>
    <row r="92" spans="1:24" ht="20.100000000000001" customHeight="1" x14ac:dyDescent="0.25">
      <c r="A92" s="202" t="str">
        <f>Datos!B111</f>
        <v>16.1</v>
      </c>
      <c r="B92" s="203" t="str">
        <f t="shared" si="19"/>
        <v>Instalación agua fría y caliente</v>
      </c>
      <c r="C92" s="204"/>
      <c r="D92" s="4">
        <f>SUMIF(CyP!A:A,PTyCI!A92,CyP!I:I)</f>
        <v>0</v>
      </c>
      <c r="E92" s="505"/>
      <c r="F92" s="531"/>
      <c r="G92" s="524"/>
      <c r="H92" s="524"/>
      <c r="I92" s="524"/>
      <c r="J92" s="524"/>
      <c r="K92" s="524"/>
      <c r="L92" s="524"/>
      <c r="M92" s="524"/>
      <c r="N92" s="524"/>
      <c r="O92" s="524"/>
      <c r="P92" s="524"/>
      <c r="Q92" s="524"/>
      <c r="R92" s="524"/>
      <c r="S92" s="524"/>
      <c r="T92" s="524"/>
      <c r="U92" s="524"/>
      <c r="V92" s="524"/>
      <c r="W92" s="538"/>
      <c r="X92" s="534">
        <f t="shared" si="20"/>
        <v>0</v>
      </c>
    </row>
    <row r="93" spans="1:24" ht="20.100000000000001" customHeight="1" x14ac:dyDescent="0.25">
      <c r="A93" s="202" t="str">
        <f>Datos!B112</f>
        <v>16.2</v>
      </c>
      <c r="B93" s="203" t="str">
        <f t="shared" ref="B93:B96" si="21">IFERROR(VLOOKUP(A93,Tabla_Comp_Presup,2,FALSE),0)</f>
        <v>Desagües Cloacales</v>
      </c>
      <c r="C93" s="204"/>
      <c r="D93" s="4">
        <f>SUMIF(CyP!A:A,PTyCI!A93,CyP!I:I)</f>
        <v>0</v>
      </c>
      <c r="E93" s="505"/>
      <c r="F93" s="531"/>
      <c r="G93" s="524"/>
      <c r="H93" s="524"/>
      <c r="I93" s="524"/>
      <c r="J93" s="524"/>
      <c r="K93" s="524"/>
      <c r="L93" s="524"/>
      <c r="M93" s="524"/>
      <c r="N93" s="524"/>
      <c r="O93" s="524"/>
      <c r="P93" s="524"/>
      <c r="Q93" s="524"/>
      <c r="R93" s="524"/>
      <c r="S93" s="524"/>
      <c r="T93" s="524"/>
      <c r="U93" s="524"/>
      <c r="V93" s="524"/>
      <c r="W93" s="538"/>
      <c r="X93" s="534">
        <f t="shared" si="20"/>
        <v>0</v>
      </c>
    </row>
    <row r="94" spans="1:24" ht="20.100000000000001" customHeight="1" x14ac:dyDescent="0.25">
      <c r="A94" s="202" t="str">
        <f>Datos!B113</f>
        <v>16.3</v>
      </c>
      <c r="B94" s="203" t="str">
        <f t="shared" si="21"/>
        <v>Desagües Pluviales</v>
      </c>
      <c r="C94" s="204"/>
      <c r="D94" s="4">
        <f>SUMIF(CyP!A:A,PTyCI!A94,CyP!I:I)</f>
        <v>0</v>
      </c>
      <c r="E94" s="505"/>
      <c r="F94" s="531"/>
      <c r="G94" s="524"/>
      <c r="H94" s="524"/>
      <c r="I94" s="524"/>
      <c r="J94" s="524"/>
      <c r="K94" s="524"/>
      <c r="L94" s="524"/>
      <c r="M94" s="524"/>
      <c r="N94" s="524"/>
      <c r="O94" s="524"/>
      <c r="P94" s="524"/>
      <c r="Q94" s="524"/>
      <c r="R94" s="524"/>
      <c r="S94" s="524"/>
      <c r="T94" s="524"/>
      <c r="U94" s="524"/>
      <c r="V94" s="524"/>
      <c r="W94" s="538"/>
      <c r="X94" s="534">
        <f t="shared" si="20"/>
        <v>0</v>
      </c>
    </row>
    <row r="95" spans="1:24" ht="20.100000000000001" customHeight="1" x14ac:dyDescent="0.25">
      <c r="A95" s="202" t="str">
        <f>Datos!B114</f>
        <v>16.4</v>
      </c>
      <c r="B95" s="203" t="str">
        <f t="shared" si="21"/>
        <v>Desagüe aire acondicionado</v>
      </c>
      <c r="C95" s="204"/>
      <c r="D95" s="4">
        <f>SUMIF(CyP!A:A,PTyCI!A95,CyP!I:I)</f>
        <v>0</v>
      </c>
      <c r="E95" s="505"/>
      <c r="F95" s="531"/>
      <c r="G95" s="524"/>
      <c r="H95" s="524"/>
      <c r="I95" s="524"/>
      <c r="J95" s="524"/>
      <c r="K95" s="524"/>
      <c r="L95" s="524"/>
      <c r="M95" s="524"/>
      <c r="N95" s="524"/>
      <c r="O95" s="524"/>
      <c r="P95" s="524"/>
      <c r="Q95" s="524"/>
      <c r="R95" s="524"/>
      <c r="S95" s="524"/>
      <c r="T95" s="524"/>
      <c r="U95" s="524"/>
      <c r="V95" s="524"/>
      <c r="W95" s="538"/>
      <c r="X95" s="534">
        <f t="shared" si="20"/>
        <v>0</v>
      </c>
    </row>
    <row r="96" spans="1:24" ht="20.100000000000001" customHeight="1" x14ac:dyDescent="0.25">
      <c r="A96" s="202" t="str">
        <f>Datos!B115</f>
        <v>16.5</v>
      </c>
      <c r="B96" s="203" t="str">
        <f t="shared" si="21"/>
        <v xml:space="preserve">Artefactos sanitarios  </v>
      </c>
      <c r="C96" s="204"/>
      <c r="D96" s="4">
        <f>SUMIF(CyP!A:A,PTyCI!A96,CyP!I:I)</f>
        <v>0</v>
      </c>
      <c r="E96" s="505"/>
      <c r="F96" s="531"/>
      <c r="G96" s="524"/>
      <c r="H96" s="524"/>
      <c r="I96" s="524"/>
      <c r="J96" s="524"/>
      <c r="K96" s="524"/>
      <c r="L96" s="524"/>
      <c r="M96" s="524"/>
      <c r="N96" s="524"/>
      <c r="O96" s="524"/>
      <c r="P96" s="524"/>
      <c r="Q96" s="524"/>
      <c r="R96" s="524"/>
      <c r="S96" s="524"/>
      <c r="T96" s="524"/>
      <c r="U96" s="524"/>
      <c r="V96" s="524"/>
      <c r="W96" s="538"/>
      <c r="X96" s="534">
        <f t="shared" si="20"/>
        <v>0</v>
      </c>
    </row>
    <row r="97" spans="1:24" ht="20.100000000000001" customHeight="1" x14ac:dyDescent="0.25">
      <c r="A97" s="202" t="str">
        <f>Datos!B116</f>
        <v>16.6</v>
      </c>
      <c r="B97" s="203" t="str">
        <f t="shared" ref="B97:B108" si="22">IFERROR(VLOOKUP(A97,Tabla_Comp_Presup,2,FALSE),0)</f>
        <v>Griferia de sanitario y cocina</v>
      </c>
      <c r="C97" s="204"/>
      <c r="D97" s="4">
        <f>SUMIF(CyP!A:A,PTyCI!A97,CyP!I:I)</f>
        <v>0</v>
      </c>
      <c r="E97" s="505"/>
      <c r="F97" s="531"/>
      <c r="G97" s="524"/>
      <c r="H97" s="524"/>
      <c r="I97" s="524"/>
      <c r="J97" s="524"/>
      <c r="K97" s="524"/>
      <c r="L97" s="524"/>
      <c r="M97" s="524"/>
      <c r="N97" s="524"/>
      <c r="O97" s="524"/>
      <c r="P97" s="524"/>
      <c r="Q97" s="524"/>
      <c r="R97" s="524"/>
      <c r="S97" s="524"/>
      <c r="T97" s="524"/>
      <c r="U97" s="524"/>
      <c r="V97" s="524"/>
      <c r="W97" s="538"/>
      <c r="X97" s="534">
        <f t="shared" si="20"/>
        <v>0</v>
      </c>
    </row>
    <row r="98" spans="1:24" ht="20.100000000000001" customHeight="1" x14ac:dyDescent="0.25">
      <c r="A98" s="202" t="str">
        <f>Datos!B117</f>
        <v>16.7</v>
      </c>
      <c r="B98" s="203" t="str">
        <f t="shared" si="22"/>
        <v>Accesorios de sanitarios</v>
      </c>
      <c r="C98" s="204"/>
      <c r="D98" s="4">
        <f>SUMIF(CyP!A:A,PTyCI!A98,CyP!I:I)</f>
        <v>0</v>
      </c>
      <c r="E98" s="505"/>
      <c r="F98" s="531"/>
      <c r="G98" s="524"/>
      <c r="H98" s="524"/>
      <c r="I98" s="524"/>
      <c r="J98" s="524"/>
      <c r="K98" s="524"/>
      <c r="L98" s="524"/>
      <c r="M98" s="524"/>
      <c r="N98" s="524"/>
      <c r="O98" s="524"/>
      <c r="P98" s="524"/>
      <c r="Q98" s="524"/>
      <c r="R98" s="524"/>
      <c r="S98" s="524"/>
      <c r="T98" s="524"/>
      <c r="U98" s="524"/>
      <c r="V98" s="524"/>
      <c r="W98" s="538"/>
      <c r="X98" s="534">
        <f t="shared" si="20"/>
        <v>0</v>
      </c>
    </row>
    <row r="99" spans="1:24" ht="20.100000000000001" customHeight="1" x14ac:dyDescent="0.25">
      <c r="A99" s="202" t="str">
        <f>Datos!B118</f>
        <v>16.8</v>
      </c>
      <c r="B99" s="203" t="str">
        <f t="shared" si="22"/>
        <v>Tanque de bombeo (5000 litros)</v>
      </c>
      <c r="C99" s="204"/>
      <c r="D99" s="4">
        <f>SUMIF(CyP!A:A,PTyCI!A99,CyP!I:I)</f>
        <v>0</v>
      </c>
      <c r="E99" s="505"/>
      <c r="F99" s="531"/>
      <c r="G99" s="524"/>
      <c r="H99" s="524"/>
      <c r="I99" s="524"/>
      <c r="J99" s="524"/>
      <c r="K99" s="524"/>
      <c r="L99" s="524"/>
      <c r="M99" s="524"/>
      <c r="N99" s="524"/>
      <c r="O99" s="524"/>
      <c r="P99" s="524"/>
      <c r="Q99" s="524"/>
      <c r="R99" s="524"/>
      <c r="S99" s="524"/>
      <c r="T99" s="524"/>
      <c r="U99" s="524"/>
      <c r="V99" s="524"/>
      <c r="W99" s="538"/>
      <c r="X99" s="534">
        <f t="shared" si="20"/>
        <v>0</v>
      </c>
    </row>
    <row r="100" spans="1:24" ht="20.100000000000001" customHeight="1" x14ac:dyDescent="0.25">
      <c r="A100" s="202" t="str">
        <f>Datos!B119</f>
        <v>16.9</v>
      </c>
      <c r="B100" s="203" t="str">
        <f t="shared" si="22"/>
        <v xml:space="preserve">Tanque de reserva (5000 litros) </v>
      </c>
      <c r="C100" s="204"/>
      <c r="D100" s="4">
        <f>SUMIF(CyP!A:A,PTyCI!A100,CyP!I:I)</f>
        <v>0</v>
      </c>
      <c r="E100" s="505"/>
      <c r="F100" s="531"/>
      <c r="G100" s="524"/>
      <c r="H100" s="524"/>
      <c r="I100" s="524"/>
      <c r="J100" s="524"/>
      <c r="K100" s="524"/>
      <c r="L100" s="524"/>
      <c r="M100" s="524"/>
      <c r="N100" s="524"/>
      <c r="O100" s="524"/>
      <c r="P100" s="524"/>
      <c r="Q100" s="524"/>
      <c r="R100" s="524"/>
      <c r="S100" s="524"/>
      <c r="T100" s="524"/>
      <c r="U100" s="524"/>
      <c r="V100" s="524"/>
      <c r="W100" s="538"/>
      <c r="X100" s="534">
        <f t="shared" si="20"/>
        <v>0</v>
      </c>
    </row>
    <row r="101" spans="1:24" ht="20.100000000000001" customHeight="1" x14ac:dyDescent="0.25">
      <c r="A101" s="202">
        <f>Datos!B120</f>
        <v>17</v>
      </c>
      <c r="B101" s="203" t="str">
        <f t="shared" si="22"/>
        <v>INSTALACIÓN CONTRA INCENDIO TOTAL</v>
      </c>
      <c r="C101" s="204"/>
      <c r="D101" s="4">
        <f>SUMIF(CyP!A:A,PTyCI!A101,CyP!I:I)</f>
        <v>0</v>
      </c>
      <c r="E101" s="505"/>
      <c r="F101" s="531"/>
      <c r="G101" s="524"/>
      <c r="H101" s="524"/>
      <c r="I101" s="524"/>
      <c r="J101" s="524"/>
      <c r="K101" s="524"/>
      <c r="L101" s="524"/>
      <c r="M101" s="524"/>
      <c r="N101" s="524"/>
      <c r="O101" s="524"/>
      <c r="P101" s="524"/>
      <c r="Q101" s="524"/>
      <c r="R101" s="524"/>
      <c r="S101" s="524"/>
      <c r="T101" s="524"/>
      <c r="U101" s="524"/>
      <c r="V101" s="524"/>
      <c r="W101" s="538"/>
      <c r="X101" s="534">
        <f t="shared" si="20"/>
        <v>0</v>
      </c>
    </row>
    <row r="102" spans="1:24" ht="20.100000000000001" customHeight="1" x14ac:dyDescent="0.25">
      <c r="A102" s="202" t="str">
        <f>Datos!B121</f>
        <v>17.1</v>
      </c>
      <c r="B102" s="203" t="str">
        <f t="shared" si="22"/>
        <v>Tanque de reserva   PRFV 5000 LTS</v>
      </c>
      <c r="C102" s="204"/>
      <c r="D102" s="4">
        <f>SUMIF(CyP!A:A,PTyCI!A102,CyP!I:I)</f>
        <v>0</v>
      </c>
      <c r="E102" s="505"/>
      <c r="F102" s="531"/>
      <c r="G102" s="524"/>
      <c r="H102" s="524"/>
      <c r="I102" s="524"/>
      <c r="J102" s="524"/>
      <c r="K102" s="524"/>
      <c r="L102" s="524"/>
      <c r="M102" s="524"/>
      <c r="N102" s="524"/>
      <c r="O102" s="524"/>
      <c r="P102" s="524"/>
      <c r="Q102" s="524"/>
      <c r="R102" s="524"/>
      <c r="S102" s="524"/>
      <c r="T102" s="524"/>
      <c r="U102" s="524"/>
      <c r="V102" s="524"/>
      <c r="W102" s="538"/>
      <c r="X102" s="534">
        <f t="shared" si="20"/>
        <v>0</v>
      </c>
    </row>
    <row r="103" spans="1:24" ht="20.100000000000001" customHeight="1" x14ac:dyDescent="0.25">
      <c r="A103" s="202" t="str">
        <f>Datos!B122</f>
        <v>17.2</v>
      </c>
      <c r="B103" s="203" t="str">
        <f t="shared" si="22"/>
        <v xml:space="preserve">Bomba de 15 hp </v>
      </c>
      <c r="C103" s="204"/>
      <c r="D103" s="4">
        <f>SUMIF(CyP!A:A,PTyCI!A103,CyP!I:I)</f>
        <v>0</v>
      </c>
      <c r="E103" s="505"/>
      <c r="F103" s="531"/>
      <c r="G103" s="524"/>
      <c r="H103" s="524"/>
      <c r="I103" s="524"/>
      <c r="J103" s="524"/>
      <c r="K103" s="524"/>
      <c r="L103" s="524"/>
      <c r="M103" s="524"/>
      <c r="N103" s="524"/>
      <c r="O103" s="524"/>
      <c r="P103" s="524"/>
      <c r="Q103" s="524"/>
      <c r="R103" s="524"/>
      <c r="S103" s="524"/>
      <c r="T103" s="524"/>
      <c r="U103" s="524"/>
      <c r="V103" s="524"/>
      <c r="W103" s="538"/>
      <c r="X103" s="534">
        <f t="shared" si="20"/>
        <v>0</v>
      </c>
    </row>
    <row r="104" spans="1:24" ht="20.100000000000001" customHeight="1" x14ac:dyDescent="0.25">
      <c r="A104" s="202" t="str">
        <f>Datos!B123</f>
        <v>17.3</v>
      </c>
      <c r="B104" s="203" t="str">
        <f t="shared" si="22"/>
        <v>Extintores ABC 5 kg</v>
      </c>
      <c r="C104" s="204"/>
      <c r="D104" s="4">
        <f>SUMIF(CyP!A:A,PTyCI!A104,CyP!I:I)</f>
        <v>0</v>
      </c>
      <c r="E104" s="505"/>
      <c r="F104" s="531"/>
      <c r="G104" s="524"/>
      <c r="H104" s="524"/>
      <c r="I104" s="524"/>
      <c r="J104" s="524"/>
      <c r="K104" s="524"/>
      <c r="L104" s="524"/>
      <c r="M104" s="524"/>
      <c r="N104" s="524"/>
      <c r="O104" s="524"/>
      <c r="P104" s="524"/>
      <c r="Q104" s="524"/>
      <c r="R104" s="524"/>
      <c r="S104" s="524"/>
      <c r="T104" s="524"/>
      <c r="U104" s="524"/>
      <c r="V104" s="524"/>
      <c r="W104" s="538"/>
      <c r="X104" s="534">
        <f t="shared" si="20"/>
        <v>0</v>
      </c>
    </row>
    <row r="105" spans="1:24" ht="20.100000000000001" customHeight="1" x14ac:dyDescent="0.25">
      <c r="A105" s="202" t="str">
        <f>Datos!B124</f>
        <v>17.4</v>
      </c>
      <c r="B105" s="203" t="str">
        <f t="shared" si="22"/>
        <v>Hidrantes con caja lanza y martillo</v>
      </c>
      <c r="C105" s="204"/>
      <c r="D105" s="4">
        <f>SUMIF(CyP!A:A,PTyCI!A105,CyP!I:I)</f>
        <v>0</v>
      </c>
      <c r="E105" s="505"/>
      <c r="F105" s="531"/>
      <c r="G105" s="524"/>
      <c r="H105" s="524"/>
      <c r="I105" s="524"/>
      <c r="J105" s="524"/>
      <c r="K105" s="524"/>
      <c r="L105" s="524"/>
      <c r="M105" s="524"/>
      <c r="N105" s="524"/>
      <c r="O105" s="524"/>
      <c r="P105" s="524"/>
      <c r="Q105" s="524"/>
      <c r="R105" s="524"/>
      <c r="S105" s="524"/>
      <c r="T105" s="524"/>
      <c r="U105" s="524"/>
      <c r="V105" s="524"/>
      <c r="W105" s="538"/>
      <c r="X105" s="534">
        <f t="shared" si="20"/>
        <v>0</v>
      </c>
    </row>
    <row r="106" spans="1:24" ht="20.100000000000001" customHeight="1" x14ac:dyDescent="0.25">
      <c r="A106" s="202" t="str">
        <f>Datos!B125</f>
        <v>17.5</v>
      </c>
      <c r="B106" s="203" t="str">
        <f t="shared" si="22"/>
        <v>Manguera para incendio diametro 38,long 25 metros</v>
      </c>
      <c r="C106" s="204"/>
      <c r="D106" s="4">
        <f>SUMIF(CyP!A:A,PTyCI!A106,CyP!I:I)</f>
        <v>0</v>
      </c>
      <c r="E106" s="505"/>
      <c r="F106" s="531"/>
      <c r="G106" s="524"/>
      <c r="H106" s="524"/>
      <c r="I106" s="524"/>
      <c r="J106" s="524"/>
      <c r="K106" s="524"/>
      <c r="L106" s="524"/>
      <c r="M106" s="524"/>
      <c r="N106" s="524"/>
      <c r="O106" s="524"/>
      <c r="P106" s="524"/>
      <c r="Q106" s="524"/>
      <c r="R106" s="524"/>
      <c r="S106" s="524"/>
      <c r="T106" s="524"/>
      <c r="U106" s="524"/>
      <c r="V106" s="524"/>
      <c r="W106" s="538"/>
      <c r="X106" s="534">
        <f t="shared" si="20"/>
        <v>0</v>
      </c>
    </row>
    <row r="107" spans="1:24" ht="20.100000000000001" customHeight="1" x14ac:dyDescent="0.25">
      <c r="A107" s="202" t="str">
        <f>Datos!B126</f>
        <v>17.6</v>
      </c>
      <c r="B107" s="203" t="str">
        <f t="shared" si="22"/>
        <v xml:space="preserve">Bomba Joker </v>
      </c>
      <c r="C107" s="204"/>
      <c r="D107" s="4">
        <f>SUMIF(CyP!A:A,PTyCI!A107,CyP!I:I)</f>
        <v>0</v>
      </c>
      <c r="E107" s="505"/>
      <c r="F107" s="531"/>
      <c r="G107" s="524"/>
      <c r="H107" s="524"/>
      <c r="I107" s="524"/>
      <c r="J107" s="524"/>
      <c r="K107" s="524"/>
      <c r="L107" s="524"/>
      <c r="M107" s="524"/>
      <c r="N107" s="524"/>
      <c r="O107" s="524"/>
      <c r="P107" s="524"/>
      <c r="Q107" s="524"/>
      <c r="R107" s="524"/>
      <c r="S107" s="524"/>
      <c r="T107" s="524"/>
      <c r="U107" s="524"/>
      <c r="V107" s="524"/>
      <c r="W107" s="538"/>
      <c r="X107" s="534">
        <f t="shared" si="20"/>
        <v>0</v>
      </c>
    </row>
    <row r="108" spans="1:24" ht="20.100000000000001" customHeight="1" x14ac:dyDescent="0.25">
      <c r="A108" s="202" t="str">
        <f>Datos!B127</f>
        <v>17.7</v>
      </c>
      <c r="B108" s="203" t="str">
        <f t="shared" si="22"/>
        <v>Luces de Emergencia</v>
      </c>
      <c r="C108" s="204"/>
      <c r="D108" s="4">
        <f>SUMIF(CyP!A:A,PTyCI!A108,CyP!I:I)</f>
        <v>0</v>
      </c>
      <c r="E108" s="505"/>
      <c r="F108" s="531"/>
      <c r="G108" s="524"/>
      <c r="H108" s="524"/>
      <c r="I108" s="524"/>
      <c r="J108" s="524"/>
      <c r="K108" s="524"/>
      <c r="L108" s="524"/>
      <c r="M108" s="524"/>
      <c r="N108" s="524"/>
      <c r="O108" s="524"/>
      <c r="P108" s="524"/>
      <c r="Q108" s="524"/>
      <c r="R108" s="524"/>
      <c r="S108" s="524"/>
      <c r="T108" s="524"/>
      <c r="U108" s="524"/>
      <c r="V108" s="524"/>
      <c r="W108" s="538"/>
      <c r="X108" s="534">
        <f t="shared" si="20"/>
        <v>0</v>
      </c>
    </row>
    <row r="109" spans="1:24" ht="20.100000000000001" customHeight="1" x14ac:dyDescent="0.25">
      <c r="A109" s="202" t="str">
        <f>Datos!B128</f>
        <v>17.8</v>
      </c>
      <c r="B109" s="203" t="str">
        <f t="shared" ref="B109:B133" si="23">IFERROR(VLOOKUP(A109,Tabla_Comp_Presup,2,FALSE),0)</f>
        <v>Cañeria HG 75 mm</v>
      </c>
      <c r="C109" s="204"/>
      <c r="D109" s="4">
        <f>SUMIF(CyP!A:A,PTyCI!A109,CyP!I:I)</f>
        <v>0</v>
      </c>
      <c r="E109" s="505"/>
      <c r="F109" s="531"/>
      <c r="G109" s="524"/>
      <c r="H109" s="524"/>
      <c r="I109" s="524"/>
      <c r="J109" s="524"/>
      <c r="K109" s="524"/>
      <c r="L109" s="524"/>
      <c r="M109" s="524"/>
      <c r="N109" s="524"/>
      <c r="O109" s="524"/>
      <c r="P109" s="524"/>
      <c r="Q109" s="524"/>
      <c r="R109" s="524"/>
      <c r="S109" s="524"/>
      <c r="T109" s="524"/>
      <c r="U109" s="524"/>
      <c r="V109" s="524"/>
      <c r="W109" s="538"/>
      <c r="X109" s="534">
        <f t="shared" si="20"/>
        <v>0</v>
      </c>
    </row>
    <row r="110" spans="1:24" ht="20.100000000000001" customHeight="1" x14ac:dyDescent="0.25">
      <c r="A110" s="202" t="str">
        <f>Datos!B129</f>
        <v>17.9</v>
      </c>
      <c r="B110" s="203" t="str">
        <f t="shared" si="23"/>
        <v>Cañeria HG 63 mm</v>
      </c>
      <c r="C110" s="204"/>
      <c r="D110" s="4">
        <f>SUMIF(CyP!A:A,PTyCI!A110,CyP!I:I)</f>
        <v>0</v>
      </c>
      <c r="E110" s="505"/>
      <c r="F110" s="531"/>
      <c r="G110" s="524"/>
      <c r="H110" s="524"/>
      <c r="I110" s="524"/>
      <c r="J110" s="524"/>
      <c r="K110" s="524"/>
      <c r="L110" s="524"/>
      <c r="M110" s="524"/>
      <c r="N110" s="524"/>
      <c r="O110" s="524"/>
      <c r="P110" s="524"/>
      <c r="Q110" s="524"/>
      <c r="R110" s="524"/>
      <c r="S110" s="524"/>
      <c r="T110" s="524"/>
      <c r="U110" s="524"/>
      <c r="V110" s="524"/>
      <c r="W110" s="538"/>
      <c r="X110" s="534">
        <f t="shared" si="20"/>
        <v>0</v>
      </c>
    </row>
    <row r="111" spans="1:24" ht="20.100000000000001" customHeight="1" x14ac:dyDescent="0.25">
      <c r="A111" s="202" t="str">
        <f>Datos!B130</f>
        <v>17.10</v>
      </c>
      <c r="B111" s="203" t="str">
        <f t="shared" si="23"/>
        <v>Cañeria HG 50 mm</v>
      </c>
      <c r="C111" s="204"/>
      <c r="D111" s="4">
        <f>SUMIF(CyP!A:A,PTyCI!A111,CyP!I:I)</f>
        <v>0</v>
      </c>
      <c r="E111" s="505"/>
      <c r="F111" s="531"/>
      <c r="G111" s="524"/>
      <c r="H111" s="524"/>
      <c r="I111" s="524"/>
      <c r="J111" s="524"/>
      <c r="K111" s="524"/>
      <c r="L111" s="524"/>
      <c r="M111" s="524"/>
      <c r="N111" s="524"/>
      <c r="O111" s="524"/>
      <c r="P111" s="524"/>
      <c r="Q111" s="524"/>
      <c r="R111" s="524"/>
      <c r="S111" s="524"/>
      <c r="T111" s="524"/>
      <c r="U111" s="524"/>
      <c r="V111" s="524"/>
      <c r="W111" s="538"/>
      <c r="X111" s="534">
        <f t="shared" si="20"/>
        <v>0</v>
      </c>
    </row>
    <row r="112" spans="1:24" ht="20.100000000000001" customHeight="1" x14ac:dyDescent="0.25">
      <c r="A112" s="202" t="str">
        <f>Datos!B131</f>
        <v>17.11</v>
      </c>
      <c r="B112" s="203" t="str">
        <f t="shared" si="23"/>
        <v>Valvulas Esclusas de bronce dim 45</v>
      </c>
      <c r="C112" s="204"/>
      <c r="D112" s="4">
        <f>SUMIF(CyP!A:A,PTyCI!A112,CyP!I:I)</f>
        <v>0</v>
      </c>
      <c r="E112" s="505"/>
      <c r="F112" s="531"/>
      <c r="G112" s="524"/>
      <c r="H112" s="524"/>
      <c r="I112" s="524"/>
      <c r="J112" s="524"/>
      <c r="K112" s="524"/>
      <c r="L112" s="524"/>
      <c r="M112" s="524"/>
      <c r="N112" s="524"/>
      <c r="O112" s="524"/>
      <c r="P112" s="524"/>
      <c r="Q112" s="524"/>
      <c r="R112" s="524"/>
      <c r="S112" s="524"/>
      <c r="T112" s="524"/>
      <c r="U112" s="524"/>
      <c r="V112" s="524"/>
      <c r="W112" s="538"/>
      <c r="X112" s="534">
        <f t="shared" si="20"/>
        <v>0</v>
      </c>
    </row>
    <row r="113" spans="1:24" ht="20.100000000000001" customHeight="1" x14ac:dyDescent="0.25">
      <c r="A113" s="202" t="str">
        <f>Datos!B132</f>
        <v>17.12</v>
      </c>
      <c r="B113" s="203" t="str">
        <f t="shared" si="23"/>
        <v>Valvulas Esclusas de bronce dim 38</v>
      </c>
      <c r="C113" s="204"/>
      <c r="D113" s="4">
        <f>SUMIF(CyP!A:A,PTyCI!A113,CyP!I:I)</f>
        <v>0</v>
      </c>
      <c r="E113" s="505"/>
      <c r="F113" s="531"/>
      <c r="G113" s="524"/>
      <c r="H113" s="524"/>
      <c r="I113" s="524"/>
      <c r="J113" s="524"/>
      <c r="K113" s="524"/>
      <c r="L113" s="524"/>
      <c r="M113" s="524"/>
      <c r="N113" s="524"/>
      <c r="O113" s="524"/>
      <c r="P113" s="524"/>
      <c r="Q113" s="524"/>
      <c r="R113" s="524"/>
      <c r="S113" s="524"/>
      <c r="T113" s="524"/>
      <c r="U113" s="524"/>
      <c r="V113" s="524"/>
      <c r="W113" s="538"/>
      <c r="X113" s="534">
        <f t="shared" si="20"/>
        <v>0</v>
      </c>
    </row>
    <row r="114" spans="1:24" ht="20.100000000000001" customHeight="1" x14ac:dyDescent="0.25">
      <c r="A114" s="202" t="str">
        <f>Datos!B133</f>
        <v>17.13</v>
      </c>
      <c r="B114" s="203" t="str">
        <f t="shared" si="23"/>
        <v>Caja de Impulsion con llave esferica de 2" (60x40)</v>
      </c>
      <c r="C114" s="204"/>
      <c r="D114" s="4">
        <f>SUMIF(CyP!A:A,PTyCI!A114,CyP!I:I)</f>
        <v>0</v>
      </c>
      <c r="E114" s="505"/>
      <c r="F114" s="531"/>
      <c r="G114" s="524"/>
      <c r="H114" s="524"/>
      <c r="I114" s="524"/>
      <c r="J114" s="524"/>
      <c r="K114" s="524"/>
      <c r="L114" s="524"/>
      <c r="M114" s="524"/>
      <c r="N114" s="524"/>
      <c r="O114" s="524"/>
      <c r="P114" s="524"/>
      <c r="Q114" s="524"/>
      <c r="R114" s="524"/>
      <c r="S114" s="524"/>
      <c r="T114" s="524"/>
      <c r="U114" s="524"/>
      <c r="V114" s="524"/>
      <c r="W114" s="538"/>
      <c r="X114" s="534">
        <f t="shared" si="20"/>
        <v>0</v>
      </c>
    </row>
    <row r="115" spans="1:24" ht="20.100000000000001" customHeight="1" x14ac:dyDescent="0.25">
      <c r="A115" s="202" t="str">
        <f>Datos!B134</f>
        <v>17.14</v>
      </c>
      <c r="B115" s="203" t="str">
        <f t="shared" si="23"/>
        <v>Tambor con arena de 200 lts</v>
      </c>
      <c r="C115" s="204"/>
      <c r="D115" s="4">
        <f>SUMIF(CyP!A:A,PTyCI!A115,CyP!I:I)</f>
        <v>0</v>
      </c>
      <c r="E115" s="505"/>
      <c r="F115" s="531"/>
      <c r="G115" s="524"/>
      <c r="H115" s="524"/>
      <c r="I115" s="524"/>
      <c r="J115" s="524"/>
      <c r="K115" s="524"/>
      <c r="L115" s="524"/>
      <c r="M115" s="524"/>
      <c r="N115" s="524"/>
      <c r="O115" s="524"/>
      <c r="P115" s="524"/>
      <c r="Q115" s="524"/>
      <c r="R115" s="524"/>
      <c r="S115" s="524"/>
      <c r="T115" s="524"/>
      <c r="U115" s="524"/>
      <c r="V115" s="524"/>
      <c r="W115" s="538"/>
      <c r="X115" s="534">
        <f t="shared" si="20"/>
        <v>0</v>
      </c>
    </row>
    <row r="116" spans="1:24" ht="20.100000000000001" customHeight="1" x14ac:dyDescent="0.25">
      <c r="A116" s="202">
        <f>Datos!B135</f>
        <v>18</v>
      </c>
      <c r="B116" s="203" t="str">
        <f t="shared" si="23"/>
        <v>INSTALACION ELECTROMECANICA</v>
      </c>
      <c r="C116" s="204"/>
      <c r="D116" s="4">
        <f>SUMIF(CyP!A:A,PTyCI!A116,CyP!I:I)</f>
        <v>0</v>
      </c>
      <c r="E116" s="505"/>
      <c r="F116" s="531"/>
      <c r="G116" s="524"/>
      <c r="H116" s="524"/>
      <c r="I116" s="524"/>
      <c r="J116" s="524"/>
      <c r="K116" s="524"/>
      <c r="L116" s="524"/>
      <c r="M116" s="524"/>
      <c r="N116" s="524"/>
      <c r="O116" s="524"/>
      <c r="P116" s="524"/>
      <c r="Q116" s="524"/>
      <c r="R116" s="524"/>
      <c r="S116" s="524"/>
      <c r="T116" s="524"/>
      <c r="U116" s="524"/>
      <c r="V116" s="524"/>
      <c r="W116" s="538"/>
      <c r="X116" s="534">
        <f t="shared" si="20"/>
        <v>0</v>
      </c>
    </row>
    <row r="117" spans="1:24" ht="20.100000000000001" customHeight="1" x14ac:dyDescent="0.25">
      <c r="A117" s="202" t="str">
        <f>Datos!B136</f>
        <v>18.1</v>
      </c>
      <c r="B117" s="203" t="str">
        <f t="shared" si="23"/>
        <v>Instalación electromagnética</v>
      </c>
      <c r="C117" s="204"/>
      <c r="D117" s="4">
        <f>SUMIF(CyP!A:A,PTyCI!A117,CyP!I:I)</f>
        <v>0</v>
      </c>
      <c r="E117" s="505"/>
      <c r="F117" s="531"/>
      <c r="G117" s="524"/>
      <c r="H117" s="524"/>
      <c r="I117" s="524"/>
      <c r="J117" s="524"/>
      <c r="K117" s="524"/>
      <c r="L117" s="524"/>
      <c r="M117" s="524"/>
      <c r="N117" s="524"/>
      <c r="O117" s="524"/>
      <c r="P117" s="524"/>
      <c r="Q117" s="524"/>
      <c r="R117" s="524"/>
      <c r="S117" s="524"/>
      <c r="T117" s="524"/>
      <c r="U117" s="524"/>
      <c r="V117" s="524"/>
      <c r="W117" s="538"/>
      <c r="X117" s="534">
        <f t="shared" si="20"/>
        <v>0</v>
      </c>
    </row>
    <row r="118" spans="1:24" ht="20.100000000000001" customHeight="1" x14ac:dyDescent="0.25">
      <c r="A118" s="202" t="str">
        <f>Datos!B137</f>
        <v>18.2</v>
      </c>
      <c r="B118" s="203" t="str">
        <f t="shared" si="23"/>
        <v>Ascensor Electromagnetico Cap.450 kg Ancho 1100 x 1300 cm (Torre 9 niveles)</v>
      </c>
      <c r="C118" s="204"/>
      <c r="D118" s="4">
        <f>SUMIF(CyP!A:A,PTyCI!A118,CyP!I:I)</f>
        <v>0</v>
      </c>
      <c r="E118" s="505"/>
      <c r="F118" s="531"/>
      <c r="G118" s="524"/>
      <c r="H118" s="524"/>
      <c r="I118" s="524"/>
      <c r="J118" s="524"/>
      <c r="K118" s="524"/>
      <c r="L118" s="524"/>
      <c r="M118" s="524"/>
      <c r="N118" s="524"/>
      <c r="O118" s="524"/>
      <c r="P118" s="524"/>
      <c r="Q118" s="524"/>
      <c r="R118" s="524"/>
      <c r="S118" s="524"/>
      <c r="T118" s="524"/>
      <c r="U118" s="524"/>
      <c r="V118" s="524"/>
      <c r="W118" s="538"/>
      <c r="X118" s="534">
        <f t="shared" si="20"/>
        <v>0</v>
      </c>
    </row>
    <row r="119" spans="1:24" ht="20.100000000000001" customHeight="1" x14ac:dyDescent="0.25">
      <c r="A119" s="202" t="str">
        <f>Datos!B138</f>
        <v>18.3</v>
      </c>
      <c r="B119" s="203" t="str">
        <f t="shared" ref="B119" si="24">IFERROR(VLOOKUP(A119,Tabla_Comp_Presup,2,FALSE),0)</f>
        <v>Ascensor Electromagnetico Cap.450 kg Ancho 1100 x 1300 cm  (Ala 5 niveles)</v>
      </c>
      <c r="C119" s="204"/>
      <c r="D119" s="4">
        <f>SUMIF(CyP!A:A,PTyCI!A119,CyP!I:I)</f>
        <v>0</v>
      </c>
      <c r="E119" s="505"/>
      <c r="F119" s="531"/>
      <c r="G119" s="524"/>
      <c r="H119" s="524"/>
      <c r="I119" s="524"/>
      <c r="J119" s="524"/>
      <c r="K119" s="524"/>
      <c r="L119" s="524"/>
      <c r="M119" s="524"/>
      <c r="N119" s="524"/>
      <c r="O119" s="524"/>
      <c r="P119" s="524"/>
      <c r="Q119" s="524"/>
      <c r="R119" s="524"/>
      <c r="S119" s="524"/>
      <c r="T119" s="524"/>
      <c r="U119" s="524"/>
      <c r="V119" s="524"/>
      <c r="W119" s="538"/>
      <c r="X119" s="534">
        <f t="shared" si="20"/>
        <v>0</v>
      </c>
    </row>
    <row r="120" spans="1:24" ht="20.100000000000001" customHeight="1" x14ac:dyDescent="0.25">
      <c r="A120" s="202">
        <f>Datos!B139</f>
        <v>19</v>
      </c>
      <c r="B120" s="203" t="str">
        <f t="shared" si="23"/>
        <v>CONDUCTOS Y VENTILACIONES</v>
      </c>
      <c r="C120" s="204"/>
      <c r="D120" s="4">
        <f>SUMIF(CyP!A:A,PTyCI!A120,CyP!I:I)</f>
        <v>0</v>
      </c>
      <c r="E120" s="505"/>
      <c r="F120" s="531"/>
      <c r="G120" s="524"/>
      <c r="H120" s="524"/>
      <c r="I120" s="524"/>
      <c r="J120" s="524"/>
      <c r="K120" s="524"/>
      <c r="L120" s="524"/>
      <c r="M120" s="524"/>
      <c r="N120" s="524"/>
      <c r="O120" s="524"/>
      <c r="P120" s="524"/>
      <c r="Q120" s="524"/>
      <c r="R120" s="524"/>
      <c r="S120" s="524"/>
      <c r="T120" s="524"/>
      <c r="U120" s="524"/>
      <c r="V120" s="524"/>
      <c r="W120" s="538"/>
      <c r="X120" s="534">
        <f t="shared" si="20"/>
        <v>0</v>
      </c>
    </row>
    <row r="121" spans="1:24" ht="20.100000000000001" customHeight="1" x14ac:dyDescent="0.25">
      <c r="A121" s="202" t="str">
        <f>Datos!B140</f>
        <v>19.1</v>
      </c>
      <c r="B121" s="203" t="str">
        <f t="shared" si="23"/>
        <v>Rejilla ventilación baños</v>
      </c>
      <c r="C121" s="204"/>
      <c r="D121" s="4">
        <f>SUMIF(CyP!A:A,PTyCI!A121,CyP!I:I)</f>
        <v>0</v>
      </c>
      <c r="E121" s="505"/>
      <c r="F121" s="531"/>
      <c r="G121" s="524"/>
      <c r="H121" s="524"/>
      <c r="I121" s="524"/>
      <c r="J121" s="524"/>
      <c r="K121" s="524"/>
      <c r="L121" s="524"/>
      <c r="M121" s="524"/>
      <c r="N121" s="524"/>
      <c r="O121" s="524"/>
      <c r="P121" s="524"/>
      <c r="Q121" s="524"/>
      <c r="R121" s="524"/>
      <c r="S121" s="524"/>
      <c r="T121" s="524"/>
      <c r="U121" s="524"/>
      <c r="V121" s="524"/>
      <c r="W121" s="538"/>
      <c r="X121" s="534">
        <f t="shared" si="20"/>
        <v>0</v>
      </c>
    </row>
    <row r="122" spans="1:24" ht="20.100000000000001" customHeight="1" x14ac:dyDescent="0.25">
      <c r="A122" s="202" t="str">
        <f>Datos!B141</f>
        <v>B</v>
      </c>
      <c r="B122" s="203" t="str">
        <f t="shared" si="23"/>
        <v>ESPACIOS COMUNES</v>
      </c>
      <c r="C122" s="204"/>
      <c r="D122" s="4">
        <f>SUMIF(CyP!A:A,PTyCI!A122,CyP!I:I)</f>
        <v>0</v>
      </c>
      <c r="E122" s="505"/>
      <c r="F122" s="531"/>
      <c r="G122" s="524"/>
      <c r="H122" s="524"/>
      <c r="I122" s="524"/>
      <c r="J122" s="524"/>
      <c r="K122" s="524"/>
      <c r="L122" s="524"/>
      <c r="M122" s="524"/>
      <c r="N122" s="524"/>
      <c r="O122" s="524"/>
      <c r="P122" s="524"/>
      <c r="Q122" s="524"/>
      <c r="R122" s="524"/>
      <c r="S122" s="524"/>
      <c r="T122" s="524"/>
      <c r="U122" s="524"/>
      <c r="V122" s="524"/>
      <c r="W122" s="538"/>
      <c r="X122" s="534">
        <f t="shared" si="20"/>
        <v>0</v>
      </c>
    </row>
    <row r="123" spans="1:24" ht="20.100000000000001" customHeight="1" x14ac:dyDescent="0.25">
      <c r="A123" s="202">
        <f>Datos!B142</f>
        <v>20</v>
      </c>
      <c r="B123" s="203" t="str">
        <f t="shared" si="23"/>
        <v>ESTRUCTURA RESISTENTE</v>
      </c>
      <c r="C123" s="204"/>
      <c r="D123" s="4">
        <f>SUMIF(CyP!A:A,PTyCI!A123,CyP!I:I)</f>
        <v>0</v>
      </c>
      <c r="E123" s="505"/>
      <c r="F123" s="531"/>
      <c r="G123" s="524"/>
      <c r="H123" s="524"/>
      <c r="I123" s="524"/>
      <c r="J123" s="524"/>
      <c r="K123" s="524"/>
      <c r="L123" s="524"/>
      <c r="M123" s="524"/>
      <c r="N123" s="524"/>
      <c r="O123" s="524"/>
      <c r="P123" s="524"/>
      <c r="Q123" s="524"/>
      <c r="R123" s="524"/>
      <c r="S123" s="524"/>
      <c r="T123" s="524"/>
      <c r="U123" s="524"/>
      <c r="V123" s="524"/>
      <c r="W123" s="538"/>
      <c r="X123" s="534">
        <f t="shared" si="20"/>
        <v>0</v>
      </c>
    </row>
    <row r="124" spans="1:24" ht="20.100000000000001" customHeight="1" x14ac:dyDescent="0.25">
      <c r="A124" s="202" t="str">
        <f>Datos!B143</f>
        <v>20.1</v>
      </c>
      <c r="B124" s="203" t="str">
        <f t="shared" si="23"/>
        <v>Contrapisos de H° A° - Esp. 0,10m. (incluye solo Torre con 9 niveles)</v>
      </c>
      <c r="C124" s="204"/>
      <c r="D124" s="4">
        <f>SUMIF(CyP!A:A,PTyCI!A124,CyP!I:I)</f>
        <v>0</v>
      </c>
      <c r="E124" s="505"/>
      <c r="F124" s="531"/>
      <c r="G124" s="524"/>
      <c r="H124" s="524"/>
      <c r="I124" s="524"/>
      <c r="J124" s="524"/>
      <c r="K124" s="524"/>
      <c r="L124" s="524"/>
      <c r="M124" s="524"/>
      <c r="N124" s="524"/>
      <c r="O124" s="524"/>
      <c r="P124" s="524"/>
      <c r="Q124" s="524"/>
      <c r="R124" s="524"/>
      <c r="S124" s="524"/>
      <c r="T124" s="524"/>
      <c r="U124" s="524"/>
      <c r="V124" s="524"/>
      <c r="W124" s="538"/>
      <c r="X124" s="534">
        <f t="shared" si="20"/>
        <v>0</v>
      </c>
    </row>
    <row r="125" spans="1:24" ht="20.100000000000001" customHeight="1" x14ac:dyDescent="0.25">
      <c r="A125" s="202" t="str">
        <f>Datos!B144</f>
        <v>20.2</v>
      </c>
      <c r="B125" s="203" t="str">
        <f t="shared" si="23"/>
        <v>Contrapisos de H° A° - Esp. 0,10m. (incluye Estacionamientos, Sala de Máquinas y Bombeo en Subsuelo)</v>
      </c>
      <c r="C125" s="204"/>
      <c r="D125" s="4">
        <f>SUMIF(CyP!A:A,PTyCI!A125,CyP!I:I)</f>
        <v>0</v>
      </c>
      <c r="E125" s="505"/>
      <c r="F125" s="531"/>
      <c r="G125" s="524"/>
      <c r="H125" s="524"/>
      <c r="I125" s="524"/>
      <c r="J125" s="524"/>
      <c r="K125" s="524"/>
      <c r="L125" s="524"/>
      <c r="M125" s="524"/>
      <c r="N125" s="524"/>
      <c r="O125" s="524"/>
      <c r="P125" s="524"/>
      <c r="Q125" s="524"/>
      <c r="R125" s="524"/>
      <c r="S125" s="524"/>
      <c r="T125" s="524"/>
      <c r="U125" s="524"/>
      <c r="V125" s="524"/>
      <c r="W125" s="538"/>
      <c r="X125" s="534">
        <f t="shared" si="20"/>
        <v>0</v>
      </c>
    </row>
    <row r="126" spans="1:24" ht="20.100000000000001" customHeight="1" x14ac:dyDescent="0.25">
      <c r="A126" s="202" t="str">
        <f>Datos!B145</f>
        <v>20.3</v>
      </c>
      <c r="B126" s="203" t="str">
        <f t="shared" ref="B126" si="25">IFERROR(VLOOKUP(A126,Tabla_Comp_Presup,2,FALSE),0)</f>
        <v>Contrapisos de H° A° - Esp. 0,10m. (incluye solo Bloque Sur y Bloque Oeste con 5 niveles)</v>
      </c>
      <c r="C126" s="204"/>
      <c r="D126" s="4">
        <f>SUMIF(CyP!A:A,PTyCI!A126,CyP!I:I)</f>
        <v>0</v>
      </c>
      <c r="E126" s="505"/>
      <c r="F126" s="531"/>
      <c r="G126" s="524"/>
      <c r="H126" s="524"/>
      <c r="I126" s="524"/>
      <c r="J126" s="524"/>
      <c r="K126" s="524"/>
      <c r="L126" s="524"/>
      <c r="M126" s="524"/>
      <c r="N126" s="524"/>
      <c r="O126" s="524"/>
      <c r="P126" s="524"/>
      <c r="Q126" s="524"/>
      <c r="R126" s="524"/>
      <c r="S126" s="524"/>
      <c r="T126" s="524"/>
      <c r="U126" s="524"/>
      <c r="V126" s="524"/>
      <c r="W126" s="538"/>
      <c r="X126" s="534">
        <f t="shared" si="20"/>
        <v>0</v>
      </c>
    </row>
    <row r="127" spans="1:24" ht="20.100000000000001" customHeight="1" x14ac:dyDescent="0.25">
      <c r="A127" s="202" t="str">
        <f>Datos!B146</f>
        <v>20.4</v>
      </c>
      <c r="B127" s="203" t="str">
        <f t="shared" ref="B127" si="26">IFERROR(VLOOKUP(A127,Tabla_Comp_Presup,2,FALSE),0)</f>
        <v>Escalera de H° A° (incluye solo Torre con 9 niveles)</v>
      </c>
      <c r="C127" s="204"/>
      <c r="D127" s="4">
        <f>SUMIF(CyP!A:A,PTyCI!A127,CyP!I:I)</f>
        <v>0</v>
      </c>
      <c r="E127" s="505"/>
      <c r="F127" s="531"/>
      <c r="G127" s="524"/>
      <c r="H127" s="524"/>
      <c r="I127" s="524"/>
      <c r="J127" s="524"/>
      <c r="K127" s="524"/>
      <c r="L127" s="524"/>
      <c r="M127" s="524"/>
      <c r="N127" s="524"/>
      <c r="O127" s="524"/>
      <c r="P127" s="524"/>
      <c r="Q127" s="524"/>
      <c r="R127" s="524"/>
      <c r="S127" s="524"/>
      <c r="T127" s="524"/>
      <c r="U127" s="524"/>
      <c r="V127" s="524"/>
      <c r="W127" s="538"/>
      <c r="X127" s="534">
        <f t="shared" si="20"/>
        <v>0</v>
      </c>
    </row>
    <row r="128" spans="1:24" ht="20.100000000000001" customHeight="1" x14ac:dyDescent="0.25">
      <c r="A128" s="202" t="str">
        <f>Datos!B147</f>
        <v>20.5</v>
      </c>
      <c r="B128" s="203" t="str">
        <f t="shared" ref="B128" si="27">IFERROR(VLOOKUP(A128,Tabla_Comp_Presup,2,FALSE),0)</f>
        <v>Escalera de H° A° (incluye solo Bloque Sur y Bloque Oeste con 5 niveles)</v>
      </c>
      <c r="C128" s="204"/>
      <c r="D128" s="4">
        <f>SUMIF(CyP!A:A,PTyCI!A128,CyP!I:I)</f>
        <v>0</v>
      </c>
      <c r="E128" s="505"/>
      <c r="F128" s="531"/>
      <c r="G128" s="524"/>
      <c r="H128" s="524"/>
      <c r="I128" s="524"/>
      <c r="J128" s="524"/>
      <c r="K128" s="524"/>
      <c r="L128" s="524"/>
      <c r="M128" s="524"/>
      <c r="N128" s="524"/>
      <c r="O128" s="524"/>
      <c r="P128" s="524"/>
      <c r="Q128" s="524"/>
      <c r="R128" s="524"/>
      <c r="S128" s="524"/>
      <c r="T128" s="524"/>
      <c r="U128" s="524"/>
      <c r="V128" s="524"/>
      <c r="W128" s="538"/>
      <c r="X128" s="534">
        <f t="shared" si="20"/>
        <v>0</v>
      </c>
    </row>
    <row r="129" spans="1:24" ht="20.100000000000001" customHeight="1" x14ac:dyDescent="0.25">
      <c r="A129" s="202" t="str">
        <f>Datos!B148</f>
        <v>20.6</v>
      </c>
      <c r="B129" s="203" t="str">
        <f t="shared" si="23"/>
        <v>Pisos</v>
      </c>
      <c r="C129" s="204"/>
      <c r="D129" s="4">
        <f>SUMIF(CyP!A:A,PTyCI!A129,CyP!I:I)</f>
        <v>0</v>
      </c>
      <c r="E129" s="505"/>
      <c r="F129" s="531"/>
      <c r="G129" s="524"/>
      <c r="H129" s="524"/>
      <c r="I129" s="524"/>
      <c r="J129" s="524"/>
      <c r="K129" s="524"/>
      <c r="L129" s="524"/>
      <c r="M129" s="524"/>
      <c r="N129" s="524"/>
      <c r="O129" s="524"/>
      <c r="P129" s="524"/>
      <c r="Q129" s="524"/>
      <c r="R129" s="524"/>
      <c r="S129" s="524"/>
      <c r="T129" s="524"/>
      <c r="U129" s="524"/>
      <c r="V129" s="524"/>
      <c r="W129" s="538"/>
      <c r="X129" s="534">
        <f t="shared" si="20"/>
        <v>0</v>
      </c>
    </row>
    <row r="130" spans="1:24" ht="20.100000000000001" customHeight="1" x14ac:dyDescent="0.25">
      <c r="A130" s="202" t="str">
        <f>Datos!B149</f>
        <v>20.7</v>
      </c>
      <c r="B130" s="203" t="str">
        <f t="shared" si="23"/>
        <v>Areas verdes (gramineas) en panes (incluye todo los espacios verdes del predio Planta Baja y Subsuelo)</v>
      </c>
      <c r="C130" s="204"/>
      <c r="D130" s="4">
        <f>SUMIF(CyP!A:A,PTyCI!A130,CyP!I:I)</f>
        <v>0</v>
      </c>
      <c r="E130" s="505"/>
      <c r="F130" s="531"/>
      <c r="G130" s="524"/>
      <c r="H130" s="524"/>
      <c r="I130" s="524"/>
      <c r="J130" s="524"/>
      <c r="K130" s="524"/>
      <c r="L130" s="524"/>
      <c r="M130" s="524"/>
      <c r="N130" s="524"/>
      <c r="O130" s="524"/>
      <c r="P130" s="524"/>
      <c r="Q130" s="524"/>
      <c r="R130" s="524"/>
      <c r="S130" s="524"/>
      <c r="T130" s="524"/>
      <c r="U130" s="524"/>
      <c r="V130" s="524"/>
      <c r="W130" s="538"/>
      <c r="X130" s="534">
        <f t="shared" si="20"/>
        <v>0</v>
      </c>
    </row>
    <row r="131" spans="1:24" ht="20.100000000000001" customHeight="1" x14ac:dyDescent="0.25">
      <c r="A131" s="202" t="str">
        <f>Datos!B150</f>
        <v>20.8</v>
      </c>
      <c r="B131" s="203" t="str">
        <f t="shared" si="23"/>
        <v>Especies arbóreas (incluyen todas las que se encuentran en el predio Planta Baja y Subsuelo)</v>
      </c>
      <c r="C131" s="204"/>
      <c r="D131" s="4">
        <f>SUMIF(CyP!A:A,PTyCI!A131,CyP!I:I)</f>
        <v>0</v>
      </c>
      <c r="E131" s="505"/>
      <c r="F131" s="531"/>
      <c r="G131" s="524"/>
      <c r="H131" s="524"/>
      <c r="I131" s="524"/>
      <c r="J131" s="524"/>
      <c r="K131" s="524"/>
      <c r="L131" s="524"/>
      <c r="M131" s="524"/>
      <c r="N131" s="524"/>
      <c r="O131" s="524"/>
      <c r="P131" s="524"/>
      <c r="Q131" s="524"/>
      <c r="R131" s="524"/>
      <c r="S131" s="524"/>
      <c r="T131" s="524"/>
      <c r="U131" s="524"/>
      <c r="V131" s="524"/>
      <c r="W131" s="538"/>
      <c r="X131" s="534">
        <f t="shared" si="20"/>
        <v>0</v>
      </c>
    </row>
    <row r="132" spans="1:24" ht="20.100000000000001" customHeight="1" x14ac:dyDescent="0.25">
      <c r="A132" s="202" t="str">
        <f>Datos!B151</f>
        <v>20.9</v>
      </c>
      <c r="B132" s="203" t="str">
        <f t="shared" si="23"/>
        <v>Rampas Vehiculares (Planta Baja-Subsuelo)</v>
      </c>
      <c r="C132" s="204"/>
      <c r="D132" s="4">
        <f>SUMIF(CyP!A:A,PTyCI!A132,CyP!I:I)</f>
        <v>0</v>
      </c>
      <c r="E132" s="505"/>
      <c r="F132" s="531"/>
      <c r="G132" s="524"/>
      <c r="H132" s="524"/>
      <c r="I132" s="524"/>
      <c r="J132" s="524"/>
      <c r="K132" s="524"/>
      <c r="L132" s="524"/>
      <c r="M132" s="524"/>
      <c r="N132" s="524"/>
      <c r="O132" s="524"/>
      <c r="P132" s="524"/>
      <c r="Q132" s="524"/>
      <c r="R132" s="524"/>
      <c r="S132" s="524"/>
      <c r="T132" s="524"/>
      <c r="U132" s="524"/>
      <c r="V132" s="524"/>
      <c r="W132" s="538"/>
      <c r="X132" s="534">
        <f t="shared" si="20"/>
        <v>0</v>
      </c>
    </row>
    <row r="133" spans="1:24" ht="20.100000000000001" customHeight="1" x14ac:dyDescent="0.25">
      <c r="A133" s="202" t="str">
        <f>Datos!B152</f>
        <v>20.10</v>
      </c>
      <c r="B133" s="203" t="str">
        <f t="shared" si="23"/>
        <v>Rampas Peatonales (Planta Baja)</v>
      </c>
      <c r="C133" s="204"/>
      <c r="D133" s="4">
        <f>SUMIF(CyP!A:A,PTyCI!A133,CyP!I:I)</f>
        <v>0</v>
      </c>
      <c r="E133" s="505"/>
      <c r="F133" s="531"/>
      <c r="G133" s="524"/>
      <c r="H133" s="524"/>
      <c r="I133" s="524"/>
      <c r="J133" s="524"/>
      <c r="K133" s="524"/>
      <c r="L133" s="524"/>
      <c r="M133" s="524"/>
      <c r="N133" s="524"/>
      <c r="O133" s="524"/>
      <c r="P133" s="524"/>
      <c r="Q133" s="524"/>
      <c r="R133" s="524"/>
      <c r="S133" s="524"/>
      <c r="T133" s="524"/>
      <c r="U133" s="524"/>
      <c r="V133" s="524"/>
      <c r="W133" s="538"/>
      <c r="X133" s="534">
        <f t="shared" si="20"/>
        <v>0</v>
      </c>
    </row>
    <row r="134" spans="1:24" ht="20.100000000000001" customHeight="1" x14ac:dyDescent="0.25">
      <c r="A134" s="202" t="str">
        <f>Datos!B153</f>
        <v>20.11</v>
      </c>
      <c r="B134" s="203" t="str">
        <f t="shared" ref="B134:B155" si="28">IFERROR(VLOOKUP(A134,Tabla_Comp_Presup,2,FALSE),0)</f>
        <v>Pisos de hormigón llaneado y rodillado (Senderos) (incluye en todo el predio de Planta Baja)</v>
      </c>
      <c r="C134" s="204"/>
      <c r="D134" s="4">
        <f>SUMIF(CyP!A:A,PTyCI!A134,CyP!I:I)</f>
        <v>0</v>
      </c>
      <c r="E134" s="505"/>
      <c r="F134" s="531"/>
      <c r="G134" s="524"/>
      <c r="H134" s="524"/>
      <c r="I134" s="524"/>
      <c r="J134" s="524"/>
      <c r="K134" s="524"/>
      <c r="L134" s="524"/>
      <c r="M134" s="524"/>
      <c r="N134" s="524"/>
      <c r="O134" s="524"/>
      <c r="P134" s="524"/>
      <c r="Q134" s="524"/>
      <c r="R134" s="524"/>
      <c r="S134" s="524"/>
      <c r="T134" s="524"/>
      <c r="U134" s="524"/>
      <c r="V134" s="524"/>
      <c r="W134" s="538"/>
      <c r="X134" s="534">
        <f t="shared" si="20"/>
        <v>0</v>
      </c>
    </row>
    <row r="135" spans="1:24" ht="20.100000000000001" customHeight="1" x14ac:dyDescent="0.25">
      <c r="A135" s="202" t="str">
        <f>Datos!B154</f>
        <v>20.12</v>
      </c>
      <c r="B135" s="203" t="str">
        <f t="shared" si="28"/>
        <v>Barandas metálicas en escaleras, rampas peatonales, balcones y pasillos</v>
      </c>
      <c r="C135" s="204"/>
      <c r="D135" s="4">
        <f>SUMIF(CyP!A:A,PTyCI!A135,CyP!I:I)</f>
        <v>0</v>
      </c>
      <c r="E135" s="505"/>
      <c r="F135" s="531"/>
      <c r="G135" s="524"/>
      <c r="H135" s="524"/>
      <c r="I135" s="524"/>
      <c r="J135" s="524"/>
      <c r="K135" s="524"/>
      <c r="L135" s="524"/>
      <c r="M135" s="524"/>
      <c r="N135" s="524"/>
      <c r="O135" s="524"/>
      <c r="P135" s="524"/>
      <c r="Q135" s="524"/>
      <c r="R135" s="524"/>
      <c r="S135" s="524"/>
      <c r="T135" s="524"/>
      <c r="U135" s="524"/>
      <c r="V135" s="524"/>
      <c r="W135" s="538"/>
      <c r="X135" s="534">
        <f t="shared" si="20"/>
        <v>0</v>
      </c>
    </row>
    <row r="136" spans="1:24" ht="20.100000000000001" customHeight="1" x14ac:dyDescent="0.25">
      <c r="A136" s="202" t="str">
        <f>Datos!B155</f>
        <v>20.13</v>
      </c>
      <c r="B136" s="203" t="str">
        <f t="shared" si="28"/>
        <v>Cajas de Escalera y Ascensor (Torre 9 niveles)</v>
      </c>
      <c r="C136" s="204"/>
      <c r="D136" s="4">
        <f>SUMIF(CyP!A:A,PTyCI!A136,CyP!I:I)</f>
        <v>0</v>
      </c>
      <c r="E136" s="505"/>
      <c r="F136" s="531"/>
      <c r="G136" s="524"/>
      <c r="H136" s="524"/>
      <c r="I136" s="524"/>
      <c r="J136" s="524"/>
      <c r="K136" s="524"/>
      <c r="L136" s="524"/>
      <c r="M136" s="524"/>
      <c r="N136" s="524"/>
      <c r="O136" s="524"/>
      <c r="P136" s="524"/>
      <c r="Q136" s="524"/>
      <c r="R136" s="524"/>
      <c r="S136" s="524"/>
      <c r="T136" s="524"/>
      <c r="U136" s="524"/>
      <c r="V136" s="524"/>
      <c r="W136" s="538"/>
      <c r="X136" s="534">
        <f t="shared" si="20"/>
        <v>0</v>
      </c>
    </row>
    <row r="137" spans="1:24" ht="20.100000000000001" customHeight="1" x14ac:dyDescent="0.25">
      <c r="A137" s="202" t="str">
        <f>Datos!B157</f>
        <v>20.15</v>
      </c>
      <c r="B137" s="203" t="str">
        <f t="shared" si="28"/>
        <v>Bancos en espacios verdes (H° A° y listones de madera)</v>
      </c>
      <c r="C137" s="204"/>
      <c r="D137" s="4">
        <f>SUMIF(CyP!A:A,PTyCI!A137,CyP!I:I)</f>
        <v>0</v>
      </c>
      <c r="E137" s="505"/>
      <c r="F137" s="531"/>
      <c r="G137" s="524"/>
      <c r="H137" s="524"/>
      <c r="I137" s="524"/>
      <c r="J137" s="524"/>
      <c r="K137" s="524"/>
      <c r="L137" s="524"/>
      <c r="M137" s="524"/>
      <c r="N137" s="524"/>
      <c r="O137" s="524"/>
      <c r="P137" s="524"/>
      <c r="Q137" s="524"/>
      <c r="R137" s="524"/>
      <c r="S137" s="524"/>
      <c r="T137" s="524"/>
      <c r="U137" s="524"/>
      <c r="V137" s="524"/>
      <c r="W137" s="538"/>
      <c r="X137" s="534">
        <f t="shared" si="20"/>
        <v>0</v>
      </c>
    </row>
    <row r="138" spans="1:24" ht="20.100000000000001" customHeight="1" x14ac:dyDescent="0.25">
      <c r="A138" s="202">
        <f>Datos!B158</f>
        <v>21</v>
      </c>
      <c r="B138" s="203" t="str">
        <f t="shared" si="28"/>
        <v>ESPACIOS COMUNES - INSTALACION ELECTRICA</v>
      </c>
      <c r="C138" s="204"/>
      <c r="D138" s="4">
        <f>SUMIF(CyP!A:A,PTyCI!A138,CyP!I:I)</f>
        <v>0</v>
      </c>
      <c r="E138" s="505"/>
      <c r="F138" s="531"/>
      <c r="G138" s="524"/>
      <c r="H138" s="524"/>
      <c r="I138" s="524"/>
      <c r="J138" s="524"/>
      <c r="K138" s="524"/>
      <c r="L138" s="524"/>
      <c r="M138" s="524"/>
      <c r="N138" s="524"/>
      <c r="O138" s="524"/>
      <c r="P138" s="524"/>
      <c r="Q138" s="524"/>
      <c r="R138" s="524"/>
      <c r="S138" s="524"/>
      <c r="T138" s="524"/>
      <c r="U138" s="524"/>
      <c r="V138" s="524"/>
      <c r="W138" s="538"/>
      <c r="X138" s="534">
        <f t="shared" si="20"/>
        <v>0</v>
      </c>
    </row>
    <row r="139" spans="1:24" ht="20.100000000000001" customHeight="1" x14ac:dyDescent="0.25">
      <c r="A139" s="202" t="str">
        <f>Datos!B159</f>
        <v>21.1</v>
      </c>
      <c r="B139" s="203" t="str">
        <f t="shared" si="28"/>
        <v>Instalación eléctrica (Cableado)</v>
      </c>
      <c r="C139" s="204"/>
      <c r="D139" s="4">
        <f>SUMIF(CyP!A:A,PTyCI!A139,CyP!I:I)</f>
        <v>0</v>
      </c>
      <c r="E139" s="505"/>
      <c r="F139" s="531"/>
      <c r="G139" s="524"/>
      <c r="H139" s="524"/>
      <c r="I139" s="524"/>
      <c r="J139" s="524"/>
      <c r="K139" s="524"/>
      <c r="L139" s="524"/>
      <c r="M139" s="524"/>
      <c r="N139" s="524"/>
      <c r="O139" s="524"/>
      <c r="P139" s="524"/>
      <c r="Q139" s="524"/>
      <c r="R139" s="524"/>
      <c r="S139" s="524"/>
      <c r="T139" s="524"/>
      <c r="U139" s="524"/>
      <c r="V139" s="524"/>
      <c r="W139" s="538"/>
      <c r="X139" s="534">
        <f t="shared" si="20"/>
        <v>0</v>
      </c>
    </row>
    <row r="140" spans="1:24" ht="20.100000000000001" customHeight="1" x14ac:dyDescent="0.25">
      <c r="A140" s="202" t="str">
        <f>Datos!B160</f>
        <v>21.2</v>
      </c>
      <c r="B140" s="203" t="str">
        <f t="shared" si="28"/>
        <v>Alimentación en baja tensión (Conexión a red, medidor y pilar reglam.)</v>
      </c>
      <c r="C140" s="204"/>
      <c r="D140" s="4">
        <f>SUMIF(CyP!A:A,PTyCI!A140,CyP!I:I)</f>
        <v>0</v>
      </c>
      <c r="E140" s="505"/>
      <c r="F140" s="531"/>
      <c r="G140" s="524"/>
      <c r="H140" s="524"/>
      <c r="I140" s="524"/>
      <c r="J140" s="524"/>
      <c r="K140" s="524"/>
      <c r="L140" s="524"/>
      <c r="M140" s="524"/>
      <c r="N140" s="524"/>
      <c r="O140" s="524"/>
      <c r="P140" s="524"/>
      <c r="Q140" s="524"/>
      <c r="R140" s="524"/>
      <c r="S140" s="524"/>
      <c r="T140" s="524"/>
      <c r="U140" s="524"/>
      <c r="V140" s="524"/>
      <c r="W140" s="538"/>
      <c r="X140" s="534">
        <f t="shared" ref="X140:X159" si="29">SUM(F140:W140)</f>
        <v>0</v>
      </c>
    </row>
    <row r="141" spans="1:24" ht="20.100000000000001" customHeight="1" x14ac:dyDescent="0.25">
      <c r="A141" s="202" t="str">
        <f>Datos!B161</f>
        <v>21.3</v>
      </c>
      <c r="B141" s="203" t="str">
        <f t="shared" si="28"/>
        <v>Tablero principal</v>
      </c>
      <c r="C141" s="204"/>
      <c r="D141" s="4">
        <f>SUMIF(CyP!A:A,PTyCI!A141,CyP!I:I)</f>
        <v>0</v>
      </c>
      <c r="E141" s="505"/>
      <c r="F141" s="531"/>
      <c r="G141" s="524"/>
      <c r="H141" s="524"/>
      <c r="I141" s="524"/>
      <c r="J141" s="524"/>
      <c r="K141" s="524"/>
      <c r="L141" s="524"/>
      <c r="M141" s="524"/>
      <c r="N141" s="524"/>
      <c r="O141" s="524"/>
      <c r="P141" s="524"/>
      <c r="Q141" s="524"/>
      <c r="R141" s="524"/>
      <c r="S141" s="524"/>
      <c r="T141" s="524"/>
      <c r="U141" s="524"/>
      <c r="V141" s="524"/>
      <c r="W141" s="538"/>
      <c r="X141" s="534">
        <f t="shared" si="29"/>
        <v>0</v>
      </c>
    </row>
    <row r="142" spans="1:24" ht="20.100000000000001" customHeight="1" x14ac:dyDescent="0.25">
      <c r="A142" s="202" t="str">
        <f>Datos!B162</f>
        <v>21.4</v>
      </c>
      <c r="B142" s="203" t="str">
        <f t="shared" si="28"/>
        <v>Bocas iluminación espacio comun</v>
      </c>
      <c r="C142" s="204"/>
      <c r="D142" s="4">
        <f>SUMIF(CyP!A:A,PTyCI!A142,CyP!I:I)</f>
        <v>0</v>
      </c>
      <c r="E142" s="505"/>
      <c r="F142" s="531"/>
      <c r="G142" s="524"/>
      <c r="H142" s="524"/>
      <c r="I142" s="524"/>
      <c r="J142" s="524"/>
      <c r="K142" s="524"/>
      <c r="L142" s="524"/>
      <c r="M142" s="524"/>
      <c r="N142" s="524"/>
      <c r="O142" s="524"/>
      <c r="P142" s="524"/>
      <c r="Q142" s="524"/>
      <c r="R142" s="524"/>
      <c r="S142" s="524"/>
      <c r="T142" s="524"/>
      <c r="U142" s="524"/>
      <c r="V142" s="524"/>
      <c r="W142" s="538"/>
      <c r="X142" s="534">
        <f t="shared" si="29"/>
        <v>0</v>
      </c>
    </row>
    <row r="143" spans="1:24" ht="20.100000000000001" customHeight="1" x14ac:dyDescent="0.25">
      <c r="A143" s="202" t="str">
        <f>Datos!B163</f>
        <v>21.5</v>
      </c>
      <c r="B143" s="203" t="str">
        <f t="shared" si="28"/>
        <v>Boca iluminacion espacio verde</v>
      </c>
      <c r="C143" s="204"/>
      <c r="D143" s="4">
        <f>SUMIF(CyP!A:A,PTyCI!A143,CyP!I:I)</f>
        <v>0</v>
      </c>
      <c r="E143" s="505"/>
      <c r="F143" s="531"/>
      <c r="G143" s="524"/>
      <c r="H143" s="524"/>
      <c r="I143" s="524"/>
      <c r="J143" s="524"/>
      <c r="K143" s="524"/>
      <c r="L143" s="524"/>
      <c r="M143" s="524"/>
      <c r="N143" s="524"/>
      <c r="O143" s="524"/>
      <c r="P143" s="524"/>
      <c r="Q143" s="524"/>
      <c r="R143" s="524"/>
      <c r="S143" s="524"/>
      <c r="T143" s="524"/>
      <c r="U143" s="524"/>
      <c r="V143" s="524"/>
      <c r="W143" s="538"/>
      <c r="X143" s="534">
        <f t="shared" si="29"/>
        <v>0</v>
      </c>
    </row>
    <row r="144" spans="1:24" ht="20.100000000000001" customHeight="1" x14ac:dyDescent="0.25">
      <c r="A144" s="202" t="str">
        <f>Datos!B164</f>
        <v>21.6</v>
      </c>
      <c r="B144" s="203" t="str">
        <f t="shared" si="28"/>
        <v>Cañerias</v>
      </c>
      <c r="C144" s="204"/>
      <c r="D144" s="4">
        <f>SUMIF(CyP!A:A,PTyCI!A144,CyP!I:I)</f>
        <v>0</v>
      </c>
      <c r="E144" s="505"/>
      <c r="F144" s="531"/>
      <c r="G144" s="524"/>
      <c r="H144" s="524"/>
      <c r="I144" s="524"/>
      <c r="J144" s="524"/>
      <c r="K144" s="524"/>
      <c r="L144" s="524"/>
      <c r="M144" s="524"/>
      <c r="N144" s="524"/>
      <c r="O144" s="524"/>
      <c r="P144" s="524"/>
      <c r="Q144" s="524"/>
      <c r="R144" s="524"/>
      <c r="S144" s="524"/>
      <c r="T144" s="524"/>
      <c r="U144" s="524"/>
      <c r="V144" s="524"/>
      <c r="W144" s="538"/>
      <c r="X144" s="534">
        <f t="shared" si="29"/>
        <v>0</v>
      </c>
    </row>
    <row r="145" spans="1:24" ht="20.100000000000001" customHeight="1" x14ac:dyDescent="0.25">
      <c r="A145" s="202" t="str">
        <f>Datos!B165</f>
        <v>21.7</v>
      </c>
      <c r="B145" s="203" t="str">
        <f t="shared" si="28"/>
        <v>Conectores y uniones</v>
      </c>
      <c r="C145" s="204"/>
      <c r="D145" s="4">
        <f>SUMIF(CyP!A:A,PTyCI!A145,CyP!I:I)</f>
        <v>0</v>
      </c>
      <c r="E145" s="505"/>
      <c r="F145" s="531"/>
      <c r="G145" s="524"/>
      <c r="H145" s="524"/>
      <c r="I145" s="524"/>
      <c r="J145" s="524"/>
      <c r="K145" s="524"/>
      <c r="L145" s="524"/>
      <c r="M145" s="524"/>
      <c r="N145" s="524"/>
      <c r="O145" s="524"/>
      <c r="P145" s="524"/>
      <c r="Q145" s="524"/>
      <c r="R145" s="524"/>
      <c r="S145" s="524"/>
      <c r="T145" s="524"/>
      <c r="U145" s="524"/>
      <c r="V145" s="524"/>
      <c r="W145" s="538"/>
      <c r="X145" s="534">
        <f t="shared" si="29"/>
        <v>0</v>
      </c>
    </row>
    <row r="146" spans="1:24" ht="20.100000000000001" customHeight="1" x14ac:dyDescent="0.25">
      <c r="A146" s="202" t="str">
        <f>Datos!B166</f>
        <v>21.8</v>
      </c>
      <c r="B146" s="203" t="str">
        <f t="shared" si="28"/>
        <v>Subterraneo</v>
      </c>
      <c r="C146" s="204"/>
      <c r="D146" s="4">
        <f>SUMIF(CyP!A:A,PTyCI!A146,CyP!I:I)</f>
        <v>0</v>
      </c>
      <c r="E146" s="505"/>
      <c r="F146" s="531"/>
      <c r="G146" s="524"/>
      <c r="H146" s="524"/>
      <c r="I146" s="524"/>
      <c r="J146" s="524"/>
      <c r="K146" s="524"/>
      <c r="L146" s="524"/>
      <c r="M146" s="524"/>
      <c r="N146" s="524"/>
      <c r="O146" s="524"/>
      <c r="P146" s="524"/>
      <c r="Q146" s="524"/>
      <c r="R146" s="524"/>
      <c r="S146" s="524"/>
      <c r="T146" s="524"/>
      <c r="U146" s="524"/>
      <c r="V146" s="524"/>
      <c r="W146" s="538"/>
      <c r="X146" s="534">
        <f t="shared" si="29"/>
        <v>0</v>
      </c>
    </row>
    <row r="147" spans="1:24" ht="20.100000000000001" customHeight="1" x14ac:dyDescent="0.25">
      <c r="A147" s="202" t="str">
        <f>Datos!B167</f>
        <v>21.9</v>
      </c>
      <c r="B147" s="203" t="str">
        <f t="shared" si="28"/>
        <v>Subestaciones (Torre)</v>
      </c>
      <c r="C147" s="204"/>
      <c r="D147" s="4">
        <f>SUMIF(CyP!A:A,PTyCI!A147,CyP!I:I)</f>
        <v>0</v>
      </c>
      <c r="E147" s="505"/>
      <c r="F147" s="531"/>
      <c r="G147" s="526"/>
      <c r="H147" s="524"/>
      <c r="I147" s="524"/>
      <c r="J147" s="524"/>
      <c r="K147" s="524"/>
      <c r="L147" s="524"/>
      <c r="M147" s="524"/>
      <c r="N147" s="524"/>
      <c r="O147" s="524"/>
      <c r="P147" s="524"/>
      <c r="Q147" s="524"/>
      <c r="R147" s="524"/>
      <c r="S147" s="524"/>
      <c r="T147" s="524"/>
      <c r="U147" s="524"/>
      <c r="V147" s="526"/>
      <c r="W147" s="538"/>
      <c r="X147" s="534">
        <f t="shared" si="29"/>
        <v>0</v>
      </c>
    </row>
    <row r="148" spans="1:24" ht="20.100000000000001" customHeight="1" x14ac:dyDescent="0.25">
      <c r="A148" s="202" t="str">
        <f>Datos!B168</f>
        <v>21.10</v>
      </c>
      <c r="B148" s="203" t="str">
        <f t="shared" si="28"/>
        <v>Subestaciones (Alas)</v>
      </c>
      <c r="C148" s="204"/>
      <c r="D148" s="4">
        <f>SUMIF(CyP!A:A,PTyCI!A148,CyP!I:I)</f>
        <v>0</v>
      </c>
      <c r="E148" s="505"/>
      <c r="F148" s="531"/>
      <c r="G148" s="524"/>
      <c r="H148" s="524"/>
      <c r="I148" s="524"/>
      <c r="J148" s="524"/>
      <c r="K148" s="524"/>
      <c r="L148" s="524"/>
      <c r="M148" s="524"/>
      <c r="N148" s="524"/>
      <c r="O148" s="524"/>
      <c r="P148" s="524"/>
      <c r="Q148" s="524"/>
      <c r="R148" s="524"/>
      <c r="S148" s="524"/>
      <c r="T148" s="524"/>
      <c r="U148" s="524"/>
      <c r="V148" s="526"/>
      <c r="W148" s="538"/>
      <c r="X148" s="534">
        <f t="shared" si="29"/>
        <v>0</v>
      </c>
    </row>
    <row r="149" spans="1:24" ht="20.100000000000001" customHeight="1" x14ac:dyDescent="0.25">
      <c r="A149" s="202">
        <f>Datos!B169</f>
        <v>22</v>
      </c>
      <c r="B149" s="203" t="str">
        <f t="shared" si="28"/>
        <v>ESPACIOS COMUNES - INSTALACIONES SANITARIAS</v>
      </c>
      <c r="C149" s="204"/>
      <c r="D149" s="4">
        <f>SUMIF(CyP!A:A,PTyCI!A149,CyP!I:I)</f>
        <v>0</v>
      </c>
      <c r="E149" s="505"/>
      <c r="F149" s="531"/>
      <c r="G149" s="524"/>
      <c r="H149" s="524"/>
      <c r="I149" s="524"/>
      <c r="J149" s="524"/>
      <c r="K149" s="524"/>
      <c r="L149" s="524"/>
      <c r="M149" s="524"/>
      <c r="N149" s="524"/>
      <c r="O149" s="524"/>
      <c r="P149" s="524"/>
      <c r="Q149" s="524"/>
      <c r="R149" s="524"/>
      <c r="S149" s="524"/>
      <c r="T149" s="524"/>
      <c r="U149" s="524"/>
      <c r="V149" s="524"/>
      <c r="W149" s="538"/>
      <c r="X149" s="534">
        <f t="shared" si="29"/>
        <v>0</v>
      </c>
    </row>
    <row r="150" spans="1:24" ht="20.100000000000001" customHeight="1" x14ac:dyDescent="0.25">
      <c r="A150" s="202" t="str">
        <f>Datos!B170</f>
        <v>22.1</v>
      </c>
      <c r="B150" s="203" t="str">
        <f t="shared" si="28"/>
        <v>Caño Ø160</v>
      </c>
      <c r="C150" s="204"/>
      <c r="D150" s="4">
        <f>SUMIF(CyP!A:A,PTyCI!A150,CyP!I:I)</f>
        <v>0</v>
      </c>
      <c r="E150" s="505"/>
      <c r="F150" s="531"/>
      <c r="G150" s="524"/>
      <c r="H150" s="524"/>
      <c r="I150" s="524"/>
      <c r="J150" s="524"/>
      <c r="K150" s="524"/>
      <c r="L150" s="524"/>
      <c r="M150" s="524"/>
      <c r="N150" s="524"/>
      <c r="O150" s="524"/>
      <c r="P150" s="524"/>
      <c r="Q150" s="524"/>
      <c r="R150" s="524"/>
      <c r="S150" s="524"/>
      <c r="T150" s="524"/>
      <c r="U150" s="524"/>
      <c r="V150" s="524"/>
      <c r="W150" s="538"/>
      <c r="X150" s="534">
        <f t="shared" si="29"/>
        <v>0</v>
      </c>
    </row>
    <row r="151" spans="1:24" ht="20.100000000000001" customHeight="1" x14ac:dyDescent="0.25">
      <c r="A151" s="202" t="str">
        <f>Datos!B171</f>
        <v>22.2</v>
      </c>
      <c r="B151" s="203" t="str">
        <f t="shared" si="28"/>
        <v>Caño Ø110</v>
      </c>
      <c r="C151" s="204"/>
      <c r="D151" s="4">
        <f>SUMIF(CyP!A:A,PTyCI!A151,CyP!I:I)</f>
        <v>0</v>
      </c>
      <c r="E151" s="505"/>
      <c r="F151" s="531"/>
      <c r="G151" s="524"/>
      <c r="H151" s="524"/>
      <c r="I151" s="524"/>
      <c r="J151" s="524"/>
      <c r="K151" s="524"/>
      <c r="L151" s="524"/>
      <c r="M151" s="524"/>
      <c r="N151" s="524"/>
      <c r="O151" s="524"/>
      <c r="P151" s="524"/>
      <c r="Q151" s="524"/>
      <c r="R151" s="524"/>
      <c r="S151" s="524"/>
      <c r="T151" s="524"/>
      <c r="U151" s="524"/>
      <c r="V151" s="524"/>
      <c r="W151" s="538"/>
      <c r="X151" s="534">
        <f t="shared" si="29"/>
        <v>0</v>
      </c>
    </row>
    <row r="152" spans="1:24" ht="20.100000000000001" customHeight="1" x14ac:dyDescent="0.25">
      <c r="A152" s="202" t="str">
        <f>Datos!B172</f>
        <v>22.3</v>
      </c>
      <c r="B152" s="203" t="str">
        <f t="shared" si="28"/>
        <v>Cámara de inspección 60x60</v>
      </c>
      <c r="C152" s="204"/>
      <c r="D152" s="4">
        <f>SUMIF(CyP!A:A,PTyCI!A152,CyP!I:I)</f>
        <v>0</v>
      </c>
      <c r="E152" s="505"/>
      <c r="F152" s="531"/>
      <c r="G152" s="524"/>
      <c r="H152" s="524"/>
      <c r="I152" s="524"/>
      <c r="J152" s="524"/>
      <c r="K152" s="524"/>
      <c r="L152" s="524"/>
      <c r="M152" s="524"/>
      <c r="N152" s="524"/>
      <c r="O152" s="524"/>
      <c r="P152" s="524"/>
      <c r="Q152" s="524"/>
      <c r="R152" s="524"/>
      <c r="S152" s="524"/>
      <c r="T152" s="524"/>
      <c r="U152" s="524"/>
      <c r="V152" s="524"/>
      <c r="W152" s="538"/>
      <c r="X152" s="534">
        <f t="shared" si="29"/>
        <v>0</v>
      </c>
    </row>
    <row r="153" spans="1:24" ht="20.100000000000001" customHeight="1" x14ac:dyDescent="0.25">
      <c r="A153" s="202" t="str">
        <f>Datos!B173</f>
        <v>22.4</v>
      </c>
      <c r="B153" s="203" t="str">
        <f t="shared" si="28"/>
        <v>Ramal Y Ø110</v>
      </c>
      <c r="C153" s="204"/>
      <c r="D153" s="4">
        <f>SUMIF(CyP!A:A,PTyCI!A153,CyP!I:I)</f>
        <v>0</v>
      </c>
      <c r="E153" s="505"/>
      <c r="F153" s="531"/>
      <c r="G153" s="524"/>
      <c r="H153" s="524"/>
      <c r="I153" s="524"/>
      <c r="J153" s="524"/>
      <c r="K153" s="524"/>
      <c r="L153" s="524"/>
      <c r="M153" s="524"/>
      <c r="N153" s="524"/>
      <c r="O153" s="524"/>
      <c r="P153" s="524"/>
      <c r="Q153" s="524"/>
      <c r="R153" s="524"/>
      <c r="S153" s="524"/>
      <c r="T153" s="524"/>
      <c r="U153" s="524"/>
      <c r="V153" s="524"/>
      <c r="W153" s="538"/>
      <c r="X153" s="534">
        <f t="shared" si="29"/>
        <v>0</v>
      </c>
    </row>
    <row r="154" spans="1:24" ht="20.100000000000001" customHeight="1" x14ac:dyDescent="0.25">
      <c r="A154" s="202" t="str">
        <f>Datos!B174</f>
        <v>22.5</v>
      </c>
      <c r="B154" s="203" t="str">
        <f t="shared" si="28"/>
        <v>Codo a 90° Ø110</v>
      </c>
      <c r="C154" s="204"/>
      <c r="D154" s="4">
        <f>SUMIF(CyP!A:A,PTyCI!A154,CyP!I:I)</f>
        <v>0</v>
      </c>
      <c r="E154" s="505"/>
      <c r="F154" s="531"/>
      <c r="G154" s="524"/>
      <c r="H154" s="524"/>
      <c r="I154" s="524"/>
      <c r="J154" s="524"/>
      <c r="K154" s="524"/>
      <c r="L154" s="524"/>
      <c r="M154" s="524"/>
      <c r="N154" s="524"/>
      <c r="O154" s="524"/>
      <c r="P154" s="524"/>
      <c r="Q154" s="524"/>
      <c r="R154" s="524"/>
      <c r="S154" s="524"/>
      <c r="T154" s="524"/>
      <c r="U154" s="524"/>
      <c r="V154" s="524"/>
      <c r="W154" s="538"/>
      <c r="X154" s="534">
        <f t="shared" si="29"/>
        <v>0</v>
      </c>
    </row>
    <row r="155" spans="1:24" ht="20.100000000000001" customHeight="1" x14ac:dyDescent="0.25">
      <c r="A155" s="202">
        <f>Datos!B175</f>
        <v>23</v>
      </c>
      <c r="B155" s="203" t="str">
        <f t="shared" si="28"/>
        <v>ESPACIOS COMUNES - CONEXIONES TANQUE Y CISTERNA</v>
      </c>
      <c r="C155" s="204"/>
      <c r="D155" s="4">
        <f>SUMIF(CyP!A:A,PTyCI!A155,CyP!I:I)</f>
        <v>0</v>
      </c>
      <c r="E155" s="505"/>
      <c r="F155" s="531"/>
      <c r="G155" s="524"/>
      <c r="H155" s="524"/>
      <c r="I155" s="524"/>
      <c r="J155" s="524"/>
      <c r="K155" s="524"/>
      <c r="L155" s="524"/>
      <c r="M155" s="524"/>
      <c r="N155" s="524"/>
      <c r="O155" s="524"/>
      <c r="P155" s="524"/>
      <c r="Q155" s="524"/>
      <c r="R155" s="524"/>
      <c r="S155" s="524"/>
      <c r="T155" s="524"/>
      <c r="U155" s="524"/>
      <c r="V155" s="524"/>
      <c r="W155" s="538"/>
      <c r="X155" s="534">
        <f t="shared" si="29"/>
        <v>0</v>
      </c>
    </row>
    <row r="156" spans="1:24" ht="20.100000000000001" customHeight="1" x14ac:dyDescent="0.25">
      <c r="A156" s="202" t="str">
        <f>Datos!B176</f>
        <v>23.1</v>
      </c>
      <c r="B156" s="203" t="str">
        <f t="shared" ref="B156:B158" si="30">IFERROR(VLOOKUP(A156,Tabla_Comp_Presup,2,FALSE),0)</f>
        <v>Conexiones domiciliarias PEAD PN 16 Ø25 (incluye accesorios y kit de conexión)</v>
      </c>
      <c r="C156" s="204"/>
      <c r="D156" s="4">
        <f>SUMIF(CyP!A:A,PTyCI!A156,CyP!I:I)</f>
        <v>0</v>
      </c>
      <c r="E156" s="505"/>
      <c r="F156" s="531"/>
      <c r="G156" s="524"/>
      <c r="H156" s="524"/>
      <c r="I156" s="524"/>
      <c r="J156" s="524"/>
      <c r="K156" s="524"/>
      <c r="L156" s="524"/>
      <c r="M156" s="524"/>
      <c r="N156" s="524"/>
      <c r="O156" s="524"/>
      <c r="P156" s="524"/>
      <c r="Q156" s="524"/>
      <c r="R156" s="524"/>
      <c r="S156" s="524"/>
      <c r="T156" s="524"/>
      <c r="U156" s="524"/>
      <c r="V156" s="524"/>
      <c r="W156" s="538"/>
      <c r="X156" s="534">
        <f t="shared" si="29"/>
        <v>0</v>
      </c>
    </row>
    <row r="157" spans="1:24" ht="20.100000000000001" customHeight="1" x14ac:dyDescent="0.25">
      <c r="A157" s="202" t="str">
        <f>Datos!B177</f>
        <v>23.2</v>
      </c>
      <c r="B157" s="203" t="str">
        <f t="shared" si="30"/>
        <v xml:space="preserve">Llaves de paso Ø25 </v>
      </c>
      <c r="C157" s="204"/>
      <c r="D157" s="4">
        <f>SUMIF(CyP!A:A,PTyCI!A157,CyP!I:I)</f>
        <v>0</v>
      </c>
      <c r="E157" s="505"/>
      <c r="F157" s="531"/>
      <c r="G157" s="524"/>
      <c r="H157" s="524"/>
      <c r="I157" s="524"/>
      <c r="J157" s="524"/>
      <c r="K157" s="524"/>
      <c r="L157" s="524"/>
      <c r="M157" s="524"/>
      <c r="N157" s="524"/>
      <c r="O157" s="524"/>
      <c r="P157" s="524"/>
      <c r="Q157" s="524"/>
      <c r="R157" s="524"/>
      <c r="S157" s="524"/>
      <c r="T157" s="524"/>
      <c r="U157" s="524"/>
      <c r="V157" s="524"/>
      <c r="W157" s="538"/>
      <c r="X157" s="534">
        <f t="shared" si="29"/>
        <v>0</v>
      </c>
    </row>
    <row r="158" spans="1:24" ht="20.100000000000001" customHeight="1" x14ac:dyDescent="0.25">
      <c r="A158" s="202" t="str">
        <f>Datos!B178</f>
        <v>23.3</v>
      </c>
      <c r="B158" s="203" t="str">
        <f t="shared" si="30"/>
        <v>Cañería PPL Ø25 (incluye accesorios)</v>
      </c>
      <c r="C158" s="204"/>
      <c r="D158" s="4">
        <f>SUMIF(CyP!A:A,PTyCI!A158,CyP!I:I)</f>
        <v>0</v>
      </c>
      <c r="E158" s="505"/>
      <c r="F158" s="525"/>
      <c r="G158" s="524"/>
      <c r="H158" s="524"/>
      <c r="I158" s="524"/>
      <c r="J158" s="524"/>
      <c r="K158" s="524"/>
      <c r="L158" s="524"/>
      <c r="M158" s="524"/>
      <c r="N158" s="524"/>
      <c r="O158" s="524"/>
      <c r="P158" s="524"/>
      <c r="Q158" s="524"/>
      <c r="R158" s="524"/>
      <c r="S158" s="524"/>
      <c r="T158" s="524"/>
      <c r="U158" s="524"/>
      <c r="V158" s="524"/>
      <c r="W158" s="538"/>
      <c r="X158" s="534">
        <f t="shared" si="29"/>
        <v>0</v>
      </c>
    </row>
    <row r="159" spans="1:24" ht="20.100000000000001" customHeight="1" thickBot="1" x14ac:dyDescent="0.3">
      <c r="A159" s="202">
        <v>24</v>
      </c>
      <c r="B159" s="203" t="str">
        <f t="shared" ref="B159" si="31">IFERROR(VLOOKUP(A159,Tabla_Comp_Presup,2,FALSE),0)</f>
        <v>Elaboración de Proyecto Ejecutivo</v>
      </c>
      <c r="C159" s="204"/>
      <c r="D159" s="4">
        <f>SUMIF(CyP!A:A,PTyCI!A159,CyP!I:I)</f>
        <v>0</v>
      </c>
      <c r="E159" s="505"/>
      <c r="F159" s="585"/>
      <c r="G159" s="539"/>
      <c r="H159" s="539"/>
      <c r="I159" s="539"/>
      <c r="J159" s="539"/>
      <c r="K159" s="539"/>
      <c r="L159" s="539"/>
      <c r="M159" s="539"/>
      <c r="N159" s="539"/>
      <c r="O159" s="539"/>
      <c r="P159" s="539"/>
      <c r="Q159" s="539"/>
      <c r="R159" s="539"/>
      <c r="S159" s="539"/>
      <c r="T159" s="539"/>
      <c r="U159" s="539"/>
      <c r="V159" s="539"/>
      <c r="W159" s="540"/>
      <c r="X159" s="534">
        <f t="shared" si="29"/>
        <v>0</v>
      </c>
    </row>
    <row r="160" spans="1:24" ht="20.100000000000001" customHeight="1" x14ac:dyDescent="0.25">
      <c r="D160" s="532">
        <f>SUM(D17:D159)</f>
        <v>0</v>
      </c>
      <c r="E160" s="373"/>
      <c r="F160" s="374"/>
      <c r="G160" s="374"/>
      <c r="H160" s="374"/>
      <c r="I160" s="374"/>
      <c r="J160" s="374"/>
      <c r="K160" s="374"/>
      <c r="L160" s="374"/>
      <c r="M160" s="374"/>
      <c r="N160" s="374"/>
      <c r="O160" s="374"/>
      <c r="P160" s="374"/>
      <c r="Q160" s="374"/>
      <c r="R160" s="374"/>
      <c r="S160" s="374"/>
      <c r="T160" s="374"/>
      <c r="U160" s="374"/>
      <c r="V160" s="374"/>
      <c r="W160" s="374"/>
      <c r="X160" s="375"/>
    </row>
    <row r="161" spans="1:24" ht="20.100000000000001" customHeight="1" x14ac:dyDescent="0.25">
      <c r="D161" s="376" t="s">
        <v>17</v>
      </c>
      <c r="E161" s="373">
        <v>0</v>
      </c>
      <c r="F161" s="377">
        <f t="shared" ref="F161:W161" si="32">SUMPRODUCT($D$17:$D$159,F17:F159)</f>
        <v>0</v>
      </c>
      <c r="G161" s="377">
        <f t="shared" si="32"/>
        <v>0</v>
      </c>
      <c r="H161" s="377">
        <f t="shared" si="32"/>
        <v>0</v>
      </c>
      <c r="I161" s="377">
        <f t="shared" si="32"/>
        <v>0</v>
      </c>
      <c r="J161" s="377">
        <f t="shared" si="32"/>
        <v>0</v>
      </c>
      <c r="K161" s="377">
        <f t="shared" si="32"/>
        <v>0</v>
      </c>
      <c r="L161" s="377">
        <f t="shared" si="32"/>
        <v>0</v>
      </c>
      <c r="M161" s="377">
        <f t="shared" si="32"/>
        <v>0</v>
      </c>
      <c r="N161" s="377">
        <f t="shared" si="32"/>
        <v>0</v>
      </c>
      <c r="O161" s="377">
        <f t="shared" si="32"/>
        <v>0</v>
      </c>
      <c r="P161" s="377">
        <f t="shared" si="32"/>
        <v>0</v>
      </c>
      <c r="Q161" s="377">
        <f t="shared" si="32"/>
        <v>0</v>
      </c>
      <c r="R161" s="377">
        <f t="shared" si="32"/>
        <v>0</v>
      </c>
      <c r="S161" s="377">
        <f t="shared" si="32"/>
        <v>0</v>
      </c>
      <c r="T161" s="377">
        <f t="shared" si="32"/>
        <v>0</v>
      </c>
      <c r="U161" s="377">
        <f t="shared" si="32"/>
        <v>0</v>
      </c>
      <c r="V161" s="377">
        <f t="shared" si="32"/>
        <v>0</v>
      </c>
      <c r="W161" s="377">
        <f t="shared" si="32"/>
        <v>0</v>
      </c>
      <c r="X161" s="509">
        <f>SUM(F161:W161)</f>
        <v>0</v>
      </c>
    </row>
    <row r="162" spans="1:24" ht="20.100000000000001" customHeight="1" x14ac:dyDescent="0.25">
      <c r="D162" s="376" t="s">
        <v>18</v>
      </c>
      <c r="E162" s="367">
        <v>0</v>
      </c>
      <c r="F162" s="498">
        <f>E162+F161</f>
        <v>0</v>
      </c>
      <c r="G162" s="498">
        <f>F162+G161</f>
        <v>0</v>
      </c>
      <c r="H162" s="498">
        <f t="shared" ref="H162:L162" si="33">G162+H161</f>
        <v>0</v>
      </c>
      <c r="I162" s="498">
        <f t="shared" si="33"/>
        <v>0</v>
      </c>
      <c r="J162" s="498">
        <f t="shared" si="33"/>
        <v>0</v>
      </c>
      <c r="K162" s="498">
        <f t="shared" si="33"/>
        <v>0</v>
      </c>
      <c r="L162" s="498">
        <f t="shared" si="33"/>
        <v>0</v>
      </c>
      <c r="M162" s="498">
        <f t="shared" ref="M162" si="34">L162+M161</f>
        <v>0</v>
      </c>
      <c r="N162" s="498">
        <f t="shared" ref="N162" si="35">M162+N161</f>
        <v>0</v>
      </c>
      <c r="O162" s="498">
        <f t="shared" ref="O162" si="36">N162+O161</f>
        <v>0</v>
      </c>
      <c r="P162" s="498">
        <f t="shared" ref="P162" si="37">O162+P161</f>
        <v>0</v>
      </c>
      <c r="Q162" s="498">
        <f t="shared" ref="Q162" si="38">P162+Q161</f>
        <v>0</v>
      </c>
      <c r="R162" s="498">
        <f t="shared" ref="R162" si="39">Q162+R161</f>
        <v>0</v>
      </c>
      <c r="S162" s="498">
        <f t="shared" ref="S162" si="40">R162+S161</f>
        <v>0</v>
      </c>
      <c r="T162" s="498">
        <f t="shared" ref="T162" si="41">S162+T161</f>
        <v>0</v>
      </c>
      <c r="U162" s="498">
        <f t="shared" ref="U162" si="42">T162+U161</f>
        <v>0</v>
      </c>
      <c r="V162" s="498">
        <f t="shared" ref="V162" si="43">U162+V161</f>
        <v>0</v>
      </c>
      <c r="W162" s="498">
        <f>V162+W161</f>
        <v>0</v>
      </c>
      <c r="X162" s="509"/>
    </row>
    <row r="163" spans="1:24" ht="20.100000000000001" customHeight="1" x14ac:dyDescent="0.25">
      <c r="D163" s="378"/>
      <c r="E163" s="379" t="s">
        <v>1120</v>
      </c>
      <c r="F163" s="367"/>
      <c r="G163" s="367"/>
      <c r="H163" s="367"/>
      <c r="I163" s="367"/>
      <c r="J163" s="367"/>
      <c r="K163" s="367"/>
      <c r="L163" s="367"/>
      <c r="M163" s="367"/>
      <c r="N163" s="367"/>
      <c r="O163" s="367"/>
      <c r="P163" s="367"/>
      <c r="Q163" s="367"/>
      <c r="R163" s="367"/>
      <c r="S163" s="367"/>
      <c r="T163" s="367"/>
      <c r="U163" s="367"/>
      <c r="V163" s="367"/>
      <c r="W163" s="367"/>
    </row>
    <row r="164" spans="1:24" ht="20.100000000000001" customHeight="1" x14ac:dyDescent="0.25">
      <c r="D164" s="376" t="s">
        <v>19</v>
      </c>
      <c r="E164" s="380">
        <f>ROUND(C9*Anticipo_Financiero,32)</f>
        <v>0</v>
      </c>
      <c r="F164" s="380">
        <f t="shared" ref="F164:L164" si="44">ROUND(F161*Monto_Oferta*(1-Anticipo_Financiero),32)</f>
        <v>0</v>
      </c>
      <c r="G164" s="380">
        <f t="shared" si="44"/>
        <v>0</v>
      </c>
      <c r="H164" s="380">
        <f t="shared" si="44"/>
        <v>0</v>
      </c>
      <c r="I164" s="380">
        <f t="shared" si="44"/>
        <v>0</v>
      </c>
      <c r="J164" s="380">
        <f t="shared" si="44"/>
        <v>0</v>
      </c>
      <c r="K164" s="380">
        <f t="shared" si="44"/>
        <v>0</v>
      </c>
      <c r="L164" s="380">
        <f t="shared" si="44"/>
        <v>0</v>
      </c>
      <c r="M164" s="380">
        <f t="shared" ref="M164:V164" si="45">ROUND(M161*Monto_Oferta*(1-Anticipo_Financiero),32)</f>
        <v>0</v>
      </c>
      <c r="N164" s="380">
        <f t="shared" si="45"/>
        <v>0</v>
      </c>
      <c r="O164" s="380">
        <f t="shared" si="45"/>
        <v>0</v>
      </c>
      <c r="P164" s="380">
        <f t="shared" si="45"/>
        <v>0</v>
      </c>
      <c r="Q164" s="380">
        <f t="shared" si="45"/>
        <v>0</v>
      </c>
      <c r="R164" s="380">
        <f t="shared" si="45"/>
        <v>0</v>
      </c>
      <c r="S164" s="380">
        <f t="shared" si="45"/>
        <v>0</v>
      </c>
      <c r="T164" s="380">
        <f t="shared" si="45"/>
        <v>0</v>
      </c>
      <c r="U164" s="380">
        <f t="shared" si="45"/>
        <v>0</v>
      </c>
      <c r="V164" s="380">
        <f t="shared" si="45"/>
        <v>0</v>
      </c>
      <c r="W164" s="380">
        <f>ROUND(W161*Monto_Oferta*(1-Anticipo_Financiero),32)</f>
        <v>0</v>
      </c>
      <c r="X164" s="380"/>
    </row>
    <row r="165" spans="1:24" ht="20.100000000000001" customHeight="1" x14ac:dyDescent="0.25">
      <c r="D165" s="376" t="s">
        <v>1101</v>
      </c>
      <c r="E165" s="380">
        <f>+E164</f>
        <v>0</v>
      </c>
      <c r="F165" s="380">
        <f>+F164+E165</f>
        <v>0</v>
      </c>
      <c r="G165" s="380">
        <f t="shared" ref="G165:L165" si="46">+G164+F165</f>
        <v>0</v>
      </c>
      <c r="H165" s="380">
        <f t="shared" si="46"/>
        <v>0</v>
      </c>
      <c r="I165" s="380">
        <f t="shared" si="46"/>
        <v>0</v>
      </c>
      <c r="J165" s="380">
        <f t="shared" si="46"/>
        <v>0</v>
      </c>
      <c r="K165" s="380">
        <f t="shared" si="46"/>
        <v>0</v>
      </c>
      <c r="L165" s="380">
        <f t="shared" si="46"/>
        <v>0</v>
      </c>
      <c r="M165" s="380">
        <f t="shared" ref="M165" si="47">+M164+L165</f>
        <v>0</v>
      </c>
      <c r="N165" s="380">
        <f t="shared" ref="N165" si="48">+N164+M165</f>
        <v>0</v>
      </c>
      <c r="O165" s="380">
        <f t="shared" ref="O165" si="49">+O164+N165</f>
        <v>0</v>
      </c>
      <c r="P165" s="380">
        <f t="shared" ref="P165" si="50">+P164+O165</f>
        <v>0</v>
      </c>
      <c r="Q165" s="380">
        <f t="shared" ref="Q165" si="51">+Q164+P165</f>
        <v>0</v>
      </c>
      <c r="R165" s="380">
        <f t="shared" ref="R165" si="52">+R164+Q165</f>
        <v>0</v>
      </c>
      <c r="S165" s="380">
        <f t="shared" ref="S165" si="53">+S164+R165</f>
        <v>0</v>
      </c>
      <c r="T165" s="380">
        <f t="shared" ref="T165" si="54">+T164+S165</f>
        <v>0</v>
      </c>
      <c r="U165" s="380">
        <f t="shared" ref="U165" si="55">+U164+T165</f>
        <v>0</v>
      </c>
      <c r="V165" s="380">
        <f t="shared" ref="V165" si="56">+V164+U165</f>
        <v>0</v>
      </c>
      <c r="W165" s="380">
        <f t="shared" ref="W165" si="57">+W164+V165</f>
        <v>0</v>
      </c>
      <c r="X165" s="380"/>
    </row>
    <row r="166" spans="1:24" ht="20.100000000000001" customHeight="1" x14ac:dyDescent="0.25">
      <c r="A166" s="55" t="s">
        <v>1119</v>
      </c>
      <c r="E166" s="507"/>
      <c r="F166" s="207"/>
    </row>
    <row r="167" spans="1:24" ht="20.25" hidden="1" customHeight="1" x14ac:dyDescent="0.25">
      <c r="D167" t="s">
        <v>1262</v>
      </c>
      <c r="E167" s="508">
        <v>0</v>
      </c>
      <c r="F167" s="508">
        <v>3.8899999999999997E-2</v>
      </c>
      <c r="G167" s="508">
        <v>8.8900000000000007E-2</v>
      </c>
      <c r="H167" s="508">
        <v>0.15</v>
      </c>
      <c r="I167" s="508">
        <v>0.2233</v>
      </c>
      <c r="J167" s="508">
        <v>0.29599999999999999</v>
      </c>
      <c r="K167" s="508">
        <v>0.38</v>
      </c>
      <c r="L167" s="508">
        <v>0.46339999999999998</v>
      </c>
      <c r="M167" s="508">
        <v>0.54669999999999996</v>
      </c>
      <c r="N167" s="508">
        <v>0.63</v>
      </c>
      <c r="O167" s="508">
        <v>0.7077</v>
      </c>
      <c r="P167" s="508">
        <v>0.76700000000000002</v>
      </c>
      <c r="Q167" s="508">
        <v>0.82340000000000002</v>
      </c>
      <c r="R167" s="508">
        <v>0.86929999999999996</v>
      </c>
      <c r="S167" s="508">
        <v>0.91549999999999998</v>
      </c>
      <c r="T167" s="508">
        <v>0.94669999999999999</v>
      </c>
      <c r="U167" s="508">
        <v>0.96740000000000004</v>
      </c>
      <c r="V167" s="508">
        <v>0.98880000000000001</v>
      </c>
      <c r="W167" s="508">
        <v>1</v>
      </c>
    </row>
    <row r="168" spans="1:24" ht="20.100000000000001" hidden="1" customHeight="1" x14ac:dyDescent="0.25">
      <c r="D168" t="s">
        <v>1263</v>
      </c>
      <c r="E168" s="508">
        <v>0</v>
      </c>
      <c r="F168" s="508">
        <v>2.0500000000000001E-2</v>
      </c>
      <c r="G168" s="508">
        <v>3.8800000000000001E-2</v>
      </c>
      <c r="H168" s="508">
        <v>5.5E-2</v>
      </c>
      <c r="I168" s="508">
        <v>9.5000000000000001E-2</v>
      </c>
      <c r="J168" s="508">
        <v>0.14330000000000001</v>
      </c>
      <c r="K168" s="508">
        <v>0.2</v>
      </c>
      <c r="L168" s="508">
        <v>0.2666</v>
      </c>
      <c r="M168" s="508">
        <v>0.3266</v>
      </c>
      <c r="N168" s="508">
        <v>0.4</v>
      </c>
      <c r="O168" s="508">
        <v>0.46660000000000001</v>
      </c>
      <c r="P168" s="508">
        <v>0.52839999999999998</v>
      </c>
      <c r="Q168" s="508">
        <v>0.6</v>
      </c>
      <c r="R168" s="508">
        <v>0.67090000000000005</v>
      </c>
      <c r="S168" s="508">
        <v>0.74639999999999995</v>
      </c>
      <c r="T168" s="508">
        <v>0.82</v>
      </c>
      <c r="U168" s="508">
        <v>0.89</v>
      </c>
      <c r="V168" s="508">
        <v>0.94889999999999997</v>
      </c>
      <c r="W168" s="508">
        <v>1</v>
      </c>
    </row>
    <row r="169" spans="1:24" ht="20.100000000000001" hidden="1" customHeight="1" x14ac:dyDescent="0.25">
      <c r="F169" s="509"/>
      <c r="G169" s="509"/>
      <c r="H169" s="509"/>
      <c r="I169" s="509"/>
      <c r="J169" s="509"/>
      <c r="K169" s="509"/>
      <c r="L169" s="509"/>
      <c r="M169" s="509"/>
      <c r="N169" s="509"/>
      <c r="O169" s="509"/>
      <c r="P169" s="509"/>
      <c r="Q169" s="509"/>
      <c r="R169" s="509"/>
      <c r="S169" s="509"/>
      <c r="T169" s="509"/>
      <c r="U169" s="509"/>
      <c r="V169" s="509"/>
      <c r="W169" s="509"/>
    </row>
    <row r="170" spans="1:24" ht="20.100000000000001" hidden="1" customHeight="1" x14ac:dyDescent="0.25">
      <c r="F170" s="509">
        <f>+F167-F162</f>
        <v>3.8899999999999997E-2</v>
      </c>
      <c r="G170" s="509">
        <f t="shared" ref="G170:W170" si="58">+G167-G162</f>
        <v>8.8900000000000007E-2</v>
      </c>
      <c r="H170" s="509">
        <f t="shared" si="58"/>
        <v>0.15</v>
      </c>
      <c r="I170" s="509">
        <f t="shared" si="58"/>
        <v>0.2233</v>
      </c>
      <c r="J170" s="509">
        <f>+J167-J162</f>
        <v>0.29599999999999999</v>
      </c>
      <c r="K170" s="509">
        <f t="shared" si="58"/>
        <v>0.38</v>
      </c>
      <c r="L170" s="509">
        <f t="shared" si="58"/>
        <v>0.46339999999999998</v>
      </c>
      <c r="M170" s="509">
        <f t="shared" si="58"/>
        <v>0.54669999999999996</v>
      </c>
      <c r="N170" s="509">
        <f t="shared" si="58"/>
        <v>0.63</v>
      </c>
      <c r="O170" s="509">
        <f t="shared" si="58"/>
        <v>0.7077</v>
      </c>
      <c r="P170" s="509">
        <f t="shared" si="58"/>
        <v>0.76700000000000002</v>
      </c>
      <c r="Q170" s="509">
        <f t="shared" si="58"/>
        <v>0.82340000000000002</v>
      </c>
      <c r="R170" s="509">
        <f t="shared" si="58"/>
        <v>0.86929999999999996</v>
      </c>
      <c r="S170" s="509">
        <f t="shared" si="58"/>
        <v>0.91549999999999998</v>
      </c>
      <c r="T170" s="509">
        <f t="shared" si="58"/>
        <v>0.94669999999999999</v>
      </c>
      <c r="U170" s="509">
        <f t="shared" si="58"/>
        <v>0.96740000000000004</v>
      </c>
      <c r="V170" s="509">
        <f t="shared" si="58"/>
        <v>0.98880000000000001</v>
      </c>
      <c r="W170" s="509">
        <f t="shared" si="58"/>
        <v>1</v>
      </c>
    </row>
    <row r="171" spans="1:24" ht="20.100000000000001" hidden="1" customHeight="1" x14ac:dyDescent="0.25">
      <c r="F171" s="509">
        <f>+F162-F168</f>
        <v>-2.0500000000000001E-2</v>
      </c>
      <c r="G171" s="509">
        <f t="shared" ref="G171:W171" si="59">+G162-G168</f>
        <v>-3.8800000000000001E-2</v>
      </c>
      <c r="H171" s="509">
        <f t="shared" si="59"/>
        <v>-5.5E-2</v>
      </c>
      <c r="I171" s="509">
        <f t="shared" si="59"/>
        <v>-9.5000000000000001E-2</v>
      </c>
      <c r="J171" s="509">
        <f t="shared" si="59"/>
        <v>-0.14330000000000001</v>
      </c>
      <c r="K171" s="509">
        <f t="shared" si="59"/>
        <v>-0.2</v>
      </c>
      <c r="L171" s="509">
        <f t="shared" si="59"/>
        <v>-0.2666</v>
      </c>
      <c r="M171" s="509">
        <f t="shared" si="59"/>
        <v>-0.3266</v>
      </c>
      <c r="N171" s="509">
        <f t="shared" si="59"/>
        <v>-0.4</v>
      </c>
      <c r="O171" s="509">
        <f t="shared" si="59"/>
        <v>-0.46660000000000001</v>
      </c>
      <c r="P171" s="509">
        <f t="shared" si="59"/>
        <v>-0.52839999999999998</v>
      </c>
      <c r="Q171" s="509">
        <f t="shared" si="59"/>
        <v>-0.6</v>
      </c>
      <c r="R171" s="509">
        <f t="shared" si="59"/>
        <v>-0.67090000000000005</v>
      </c>
      <c r="S171" s="509">
        <f t="shared" si="59"/>
        <v>-0.74639999999999995</v>
      </c>
      <c r="T171" s="509">
        <f t="shared" si="59"/>
        <v>-0.82</v>
      </c>
      <c r="U171" s="509">
        <f t="shared" si="59"/>
        <v>-0.89</v>
      </c>
      <c r="V171" s="509">
        <f t="shared" si="59"/>
        <v>-0.94889999999999997</v>
      </c>
      <c r="W171" s="509">
        <f t="shared" si="59"/>
        <v>-1</v>
      </c>
    </row>
    <row r="172" spans="1:24" ht="20.100000000000001" hidden="1" customHeight="1" x14ac:dyDescent="0.25"/>
  </sheetData>
  <mergeCells count="6">
    <mergeCell ref="A12:D12"/>
    <mergeCell ref="X14:X15"/>
    <mergeCell ref="A14:A15"/>
    <mergeCell ref="B14:C15"/>
    <mergeCell ref="D14:D15"/>
    <mergeCell ref="F14:W14"/>
  </mergeCells>
  <conditionalFormatting sqref="F18:W159">
    <cfRule type="cellIs" dxfId="96" priority="1" operator="greaterThan">
      <formula>0</formula>
    </cfRule>
  </conditionalFormatting>
  <printOptions horizontalCentered="1"/>
  <pageMargins left="0.39370078740157483" right="0" top="0.98425196850393704" bottom="0.19685039370078741" header="0.19685039370078741" footer="0"/>
  <pageSetup paperSize="8" scale="40" fitToHeight="0" pageOrder="overThenDown" orientation="landscape" r:id="rId1"/>
  <headerFooter>
    <oddHeader>&amp;C&amp;G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50"/>
  <sheetViews>
    <sheetView topLeftCell="A49" workbookViewId="0">
      <selection activeCell="K12" sqref="K12"/>
    </sheetView>
  </sheetViews>
  <sheetFormatPr baseColWidth="10" defaultColWidth="11.44140625" defaultRowHeight="20.100000000000001" customHeight="1" x14ac:dyDescent="0.25"/>
  <cols>
    <col min="1" max="1" width="15.6640625" style="188" customWidth="1"/>
    <col min="2" max="2" width="20.6640625" style="188" customWidth="1"/>
    <col min="3" max="3" width="43.6640625" style="188" customWidth="1"/>
    <col min="4" max="4" width="10.6640625" style="187" customWidth="1"/>
    <col min="5" max="5" width="12.6640625" style="187" customWidth="1"/>
    <col min="6" max="7" width="15.6640625" style="189" customWidth="1"/>
    <col min="8" max="8" width="11.44140625" style="99"/>
    <col min="9" max="9" width="19" style="99" customWidth="1"/>
    <col min="10" max="10" width="12.33203125" style="99" bestFit="1" customWidth="1"/>
    <col min="11" max="11" width="23.5546875" style="99" customWidth="1"/>
    <col min="12" max="12" width="24.6640625" style="99" customWidth="1"/>
    <col min="13" max="13" width="25.33203125" style="99" customWidth="1"/>
    <col min="14" max="16384" width="11.44140625" style="99"/>
  </cols>
  <sheetData>
    <row r="1" spans="1:7" ht="20.100000000000001" customHeight="1" thickTop="1" x14ac:dyDescent="0.25">
      <c r="A1" s="312" t="s">
        <v>1236</v>
      </c>
      <c r="B1" s="313"/>
      <c r="C1" s="313"/>
      <c r="D1" s="313"/>
      <c r="E1" s="313"/>
      <c r="F1" s="313"/>
      <c r="G1" s="314"/>
    </row>
    <row r="2" spans="1:7" ht="20.100000000000001" customHeight="1" x14ac:dyDescent="0.25">
      <c r="A2" s="270" t="s">
        <v>719</v>
      </c>
      <c r="B2" s="271" t="str">
        <f>Comitente</f>
        <v>INSTITUTO PROVINCIAL DE LA VIVIENDA</v>
      </c>
      <c r="C2" s="272"/>
      <c r="D2" s="273"/>
      <c r="E2" s="273"/>
      <c r="F2" s="274"/>
      <c r="G2" s="275"/>
    </row>
    <row r="3" spans="1:7" ht="20.100000000000001" customHeight="1" x14ac:dyDescent="0.25">
      <c r="A3" s="270" t="s">
        <v>720</v>
      </c>
      <c r="B3" s="271" t="str">
        <f>Contratista</f>
        <v>xxxxxxxxx</v>
      </c>
      <c r="C3" s="276"/>
      <c r="D3" s="276"/>
      <c r="E3" s="276"/>
      <c r="F3" s="277"/>
      <c r="G3" s="278"/>
    </row>
    <row r="4" spans="1:7" ht="20.100000000000001" customHeight="1" x14ac:dyDescent="0.25">
      <c r="A4" s="270" t="s">
        <v>20</v>
      </c>
      <c r="B4" s="271" t="str">
        <f>Obra</f>
        <v>LA NAVE - 103 DEPARTAMENTOS - CAPITAL</v>
      </c>
      <c r="C4" s="276"/>
      <c r="D4" s="276"/>
      <c r="E4" s="276"/>
      <c r="F4" s="277" t="s">
        <v>33</v>
      </c>
      <c r="G4" s="279">
        <f>+Datos!$C$10</f>
        <v>44895</v>
      </c>
    </row>
    <row r="5" spans="1:7" ht="20.100000000000001" customHeight="1" x14ac:dyDescent="0.25">
      <c r="A5" s="280" t="s">
        <v>718</v>
      </c>
      <c r="B5" s="281" t="str">
        <f>Ubicación</f>
        <v>CAPITAL</v>
      </c>
      <c r="C5" s="281"/>
      <c r="D5" s="264"/>
      <c r="E5" s="282"/>
      <c r="F5" s="283"/>
      <c r="G5" s="284"/>
    </row>
    <row r="6" spans="1:7" ht="20.100000000000001" customHeight="1" x14ac:dyDescent="0.25">
      <c r="A6" s="280" t="s">
        <v>34</v>
      </c>
      <c r="B6" s="12" t="s">
        <v>1124</v>
      </c>
      <c r="C6" s="99" t="str">
        <f>IFERROR(VLOOKUP(B6,Tabla_CyP,2,FALSE),"")</f>
        <v>DEPARTAMENTOS</v>
      </c>
      <c r="D6" s="99"/>
      <c r="E6" s="282"/>
      <c r="F6" s="283"/>
      <c r="G6" s="284"/>
    </row>
    <row r="7" spans="1:7" ht="20.100000000000001" customHeight="1" x14ac:dyDescent="0.25">
      <c r="A7" s="280" t="s">
        <v>21</v>
      </c>
      <c r="B7" s="315" t="str">
        <f>IFERROR(VLOOKUP(COUNTIF($A$1:A7,"ITEM:"),Tabla_NumeroItem,2,FALSE),"")</f>
        <v>1.1</v>
      </c>
      <c r="C7" s="512" t="str">
        <f>IFERROR(VLOOKUP(B7,Tabla_CyP,2,FALSE),"")</f>
        <v>Limpieza general, incluye desmalezamiento, demolición de construcciones existentes</v>
      </c>
      <c r="D7" s="264"/>
      <c r="E7" s="282"/>
      <c r="F7" s="277" t="s">
        <v>22</v>
      </c>
      <c r="G7" s="285" t="str">
        <f>IFERROR(VLOOKUP(B7,Tabla_CyP,4,FALSE),"")</f>
        <v>m2</v>
      </c>
    </row>
    <row r="8" spans="1:7" ht="20.100000000000001" customHeight="1" x14ac:dyDescent="0.25">
      <c r="A8" s="280"/>
      <c r="B8" s="281"/>
      <c r="C8" s="99"/>
      <c r="D8" s="264"/>
      <c r="E8" s="282"/>
      <c r="F8" s="283"/>
      <c r="G8" s="284"/>
    </row>
    <row r="9" spans="1:7" ht="20.100000000000001" customHeight="1" x14ac:dyDescent="0.25">
      <c r="A9" s="611" t="s">
        <v>581</v>
      </c>
      <c r="B9" s="612"/>
      <c r="C9" s="613" t="s">
        <v>0</v>
      </c>
      <c r="D9" s="613" t="s">
        <v>23</v>
      </c>
      <c r="E9" s="615" t="s">
        <v>24</v>
      </c>
      <c r="F9" s="617" t="s">
        <v>25</v>
      </c>
      <c r="G9" s="609" t="s">
        <v>26</v>
      </c>
    </row>
    <row r="10" spans="1:7" ht="20.100000000000001" customHeight="1" x14ac:dyDescent="0.25">
      <c r="A10" s="286" t="s">
        <v>582</v>
      </c>
      <c r="B10" s="287" t="s">
        <v>583</v>
      </c>
      <c r="C10" s="614"/>
      <c r="D10" s="614"/>
      <c r="E10" s="616"/>
      <c r="F10" s="618"/>
      <c r="G10" s="610"/>
    </row>
    <row r="11" spans="1:7" ht="20.100000000000001" customHeight="1" x14ac:dyDescent="0.25">
      <c r="A11" s="434"/>
      <c r="B11" s="288"/>
      <c r="C11" s="289" t="s">
        <v>721</v>
      </c>
      <c r="D11" s="290"/>
      <c r="E11" s="291"/>
      <c r="F11" s="292"/>
      <c r="G11" s="293"/>
    </row>
    <row r="12" spans="1:7" ht="20.100000000000001" customHeight="1" x14ac:dyDescent="0.25">
      <c r="A12" s="294" t="str">
        <f>IFERROR(VLOOKUP(C12,Tabla_Insumos,4,FALSE),"")</f>
        <v/>
      </c>
      <c r="B12" s="263" t="str">
        <f t="shared" ref="B12:B25" si="0">IFERROR(VLOOKUP(C12,Tabla_Insumos,5,FALSE),"")</f>
        <v/>
      </c>
      <c r="C12" s="438"/>
      <c r="D12" s="262" t="str">
        <f t="shared" ref="D12:D25" si="1">IFERROR(VLOOKUP(C12,Tabla_Insumos,2,FALSE),"")</f>
        <v/>
      </c>
      <c r="E12" s="442"/>
      <c r="F12" s="265">
        <f t="shared" ref="F12:F25" si="2">IFERROR(VLOOKUP(C12,Tabla_Insumos,3,FALSE),0)</f>
        <v>0</v>
      </c>
      <c r="G12" s="266">
        <f>ROUND(E12*F12,2)</f>
        <v>0</v>
      </c>
    </row>
    <row r="13" spans="1:7" ht="20.100000000000001" customHeight="1" x14ac:dyDescent="0.25">
      <c r="A13" s="294" t="str">
        <f t="shared" ref="A13:A25" si="3">IFERROR(VLOOKUP(C13,Tabla_Insumos,4,FALSE),"")</f>
        <v/>
      </c>
      <c r="B13" s="263" t="str">
        <f t="shared" si="0"/>
        <v/>
      </c>
      <c r="C13" s="438"/>
      <c r="D13" s="262" t="str">
        <f t="shared" si="1"/>
        <v/>
      </c>
      <c r="E13" s="442"/>
      <c r="F13" s="265">
        <f t="shared" si="2"/>
        <v>0</v>
      </c>
      <c r="G13" s="266">
        <f t="shared" ref="G13:G25" si="4">ROUND(E13*F13,2)</f>
        <v>0</v>
      </c>
    </row>
    <row r="14" spans="1:7" ht="20.100000000000001" customHeight="1" x14ac:dyDescent="0.25">
      <c r="A14" s="294" t="str">
        <f t="shared" si="3"/>
        <v/>
      </c>
      <c r="B14" s="263" t="str">
        <f t="shared" si="0"/>
        <v/>
      </c>
      <c r="C14" s="438"/>
      <c r="D14" s="262" t="str">
        <f t="shared" si="1"/>
        <v/>
      </c>
      <c r="E14" s="442"/>
      <c r="F14" s="265">
        <f t="shared" si="2"/>
        <v>0</v>
      </c>
      <c r="G14" s="266">
        <f t="shared" si="4"/>
        <v>0</v>
      </c>
    </row>
    <row r="15" spans="1:7" ht="20.100000000000001" customHeight="1" x14ac:dyDescent="0.25">
      <c r="A15" s="294" t="str">
        <f t="shared" si="3"/>
        <v/>
      </c>
      <c r="B15" s="263" t="str">
        <f t="shared" si="0"/>
        <v/>
      </c>
      <c r="C15" s="439"/>
      <c r="D15" s="262" t="str">
        <f t="shared" si="1"/>
        <v/>
      </c>
      <c r="E15" s="444"/>
      <c r="F15" s="265">
        <f t="shared" si="2"/>
        <v>0</v>
      </c>
      <c r="G15" s="266">
        <f t="shared" si="4"/>
        <v>0</v>
      </c>
    </row>
    <row r="16" spans="1:7" ht="20.100000000000001" customHeight="1" x14ac:dyDescent="0.25">
      <c r="A16" s="294" t="str">
        <f t="shared" si="3"/>
        <v/>
      </c>
      <c r="B16" s="263" t="str">
        <f t="shared" si="0"/>
        <v/>
      </c>
      <c r="C16" s="263"/>
      <c r="D16" s="262" t="str">
        <f t="shared" si="1"/>
        <v/>
      </c>
      <c r="E16" s="437"/>
      <c r="F16" s="265">
        <f t="shared" si="2"/>
        <v>0</v>
      </c>
      <c r="G16" s="266">
        <f t="shared" si="4"/>
        <v>0</v>
      </c>
    </row>
    <row r="17" spans="1:9" ht="20.100000000000001" customHeight="1" x14ac:dyDescent="0.25">
      <c r="A17" s="294" t="str">
        <f t="shared" si="3"/>
        <v/>
      </c>
      <c r="B17" s="263" t="str">
        <f t="shared" si="0"/>
        <v/>
      </c>
      <c r="C17" s="295"/>
      <c r="D17" s="262" t="str">
        <f t="shared" si="1"/>
        <v/>
      </c>
      <c r="E17" s="296"/>
      <c r="F17" s="265">
        <f t="shared" si="2"/>
        <v>0</v>
      </c>
      <c r="G17" s="266">
        <f t="shared" si="4"/>
        <v>0</v>
      </c>
    </row>
    <row r="18" spans="1:9" ht="20.100000000000001" customHeight="1" x14ac:dyDescent="0.25">
      <c r="A18" s="294" t="str">
        <f t="shared" si="3"/>
        <v/>
      </c>
      <c r="B18" s="263" t="str">
        <f t="shared" si="0"/>
        <v/>
      </c>
      <c r="C18" s="295"/>
      <c r="D18" s="262" t="str">
        <f t="shared" si="1"/>
        <v/>
      </c>
      <c r="E18" s="296"/>
      <c r="F18" s="265">
        <f t="shared" si="2"/>
        <v>0</v>
      </c>
      <c r="G18" s="266">
        <f t="shared" si="4"/>
        <v>0</v>
      </c>
    </row>
    <row r="19" spans="1:9" ht="20.100000000000001" customHeight="1" x14ac:dyDescent="0.25">
      <c r="A19" s="294" t="str">
        <f t="shared" si="3"/>
        <v/>
      </c>
      <c r="B19" s="263" t="str">
        <f t="shared" si="0"/>
        <v/>
      </c>
      <c r="C19" s="295"/>
      <c r="D19" s="262" t="str">
        <f t="shared" si="1"/>
        <v/>
      </c>
      <c r="E19" s="296"/>
      <c r="F19" s="265">
        <f t="shared" si="2"/>
        <v>0</v>
      </c>
      <c r="G19" s="266">
        <f t="shared" si="4"/>
        <v>0</v>
      </c>
    </row>
    <row r="20" spans="1:9" ht="20.100000000000001" customHeight="1" x14ac:dyDescent="0.25">
      <c r="A20" s="294" t="str">
        <f t="shared" si="3"/>
        <v/>
      </c>
      <c r="B20" s="263" t="str">
        <f t="shared" si="0"/>
        <v/>
      </c>
      <c r="C20" s="295"/>
      <c r="D20" s="262" t="str">
        <f t="shared" si="1"/>
        <v/>
      </c>
      <c r="E20" s="296"/>
      <c r="F20" s="265">
        <f t="shared" si="2"/>
        <v>0</v>
      </c>
      <c r="G20" s="266">
        <f t="shared" si="4"/>
        <v>0</v>
      </c>
    </row>
    <row r="21" spans="1:9" ht="20.100000000000001" customHeight="1" x14ac:dyDescent="0.25">
      <c r="A21" s="294" t="str">
        <f t="shared" si="3"/>
        <v/>
      </c>
      <c r="B21" s="263" t="str">
        <f t="shared" si="0"/>
        <v/>
      </c>
      <c r="C21" s="295"/>
      <c r="D21" s="262" t="str">
        <f t="shared" si="1"/>
        <v/>
      </c>
      <c r="E21" s="296"/>
      <c r="F21" s="265">
        <f t="shared" si="2"/>
        <v>0</v>
      </c>
      <c r="G21" s="266">
        <f t="shared" si="4"/>
        <v>0</v>
      </c>
    </row>
    <row r="22" spans="1:9" ht="20.100000000000001" customHeight="1" x14ac:dyDescent="0.25">
      <c r="A22" s="294" t="str">
        <f t="shared" si="3"/>
        <v/>
      </c>
      <c r="B22" s="263" t="str">
        <f t="shared" si="0"/>
        <v/>
      </c>
      <c r="C22" s="295"/>
      <c r="D22" s="262" t="str">
        <f t="shared" si="1"/>
        <v/>
      </c>
      <c r="E22" s="296"/>
      <c r="F22" s="265">
        <f t="shared" si="2"/>
        <v>0</v>
      </c>
      <c r="G22" s="266">
        <f t="shared" si="4"/>
        <v>0</v>
      </c>
      <c r="I22" s="145"/>
    </row>
    <row r="23" spans="1:9" ht="20.100000000000001" customHeight="1" x14ac:dyDescent="0.25">
      <c r="A23" s="294" t="str">
        <f t="shared" si="3"/>
        <v/>
      </c>
      <c r="B23" s="263" t="str">
        <f t="shared" si="0"/>
        <v/>
      </c>
      <c r="C23" s="295"/>
      <c r="D23" s="262" t="str">
        <f t="shared" si="1"/>
        <v/>
      </c>
      <c r="E23" s="296"/>
      <c r="F23" s="265">
        <f t="shared" si="2"/>
        <v>0</v>
      </c>
      <c r="G23" s="266">
        <f t="shared" si="4"/>
        <v>0</v>
      </c>
    </row>
    <row r="24" spans="1:9" ht="20.100000000000001" customHeight="1" x14ac:dyDescent="0.25">
      <c r="A24" s="294" t="str">
        <f t="shared" si="3"/>
        <v/>
      </c>
      <c r="B24" s="263" t="str">
        <f t="shared" si="0"/>
        <v/>
      </c>
      <c r="C24" s="295"/>
      <c r="D24" s="262" t="str">
        <f t="shared" si="1"/>
        <v/>
      </c>
      <c r="E24" s="296"/>
      <c r="F24" s="265">
        <f t="shared" si="2"/>
        <v>0</v>
      </c>
      <c r="G24" s="266">
        <f t="shared" si="4"/>
        <v>0</v>
      </c>
    </row>
    <row r="25" spans="1:9" ht="20.100000000000001" customHeight="1" x14ac:dyDescent="0.25">
      <c r="A25" s="294" t="str">
        <f t="shared" si="3"/>
        <v/>
      </c>
      <c r="B25" s="263" t="str">
        <f t="shared" si="0"/>
        <v/>
      </c>
      <c r="C25" s="295"/>
      <c r="D25" s="262" t="str">
        <f t="shared" si="1"/>
        <v/>
      </c>
      <c r="E25" s="296"/>
      <c r="F25" s="265">
        <f t="shared" si="2"/>
        <v>0</v>
      </c>
      <c r="G25" s="266">
        <f t="shared" si="4"/>
        <v>0</v>
      </c>
    </row>
    <row r="26" spans="1:9" ht="20.100000000000001" customHeight="1" x14ac:dyDescent="0.25">
      <c r="A26" s="297"/>
      <c r="B26" s="99"/>
      <c r="C26" s="99"/>
      <c r="D26" s="264"/>
      <c r="E26" s="282"/>
      <c r="F26" s="433" t="s">
        <v>27</v>
      </c>
      <c r="G26" s="267">
        <f>SUBTOTAL(9,G12:G25)</f>
        <v>0</v>
      </c>
    </row>
    <row r="27" spans="1:9" ht="20.100000000000001" customHeight="1" x14ac:dyDescent="0.25">
      <c r="A27" s="297"/>
      <c r="B27" s="99"/>
      <c r="C27" s="273" t="s">
        <v>722</v>
      </c>
      <c r="D27" s="264"/>
      <c r="E27" s="282"/>
      <c r="F27" s="283"/>
      <c r="G27" s="298"/>
    </row>
    <row r="28" spans="1:9" ht="20.100000000000001" customHeight="1" x14ac:dyDescent="0.25">
      <c r="A28" s="294" t="str">
        <f t="shared" ref="A28:A35" si="5">IFERROR(VLOOKUP(C28,Tabla_Insumos,4,FALSE),"")</f>
        <v/>
      </c>
      <c r="B28" s="263" t="str">
        <f t="shared" ref="B28:B35" si="6">IFERROR(VLOOKUP(C28,Tabla_Insumos,5,FALSE),"")</f>
        <v/>
      </c>
      <c r="C28" s="268"/>
      <c r="D28" s="262" t="str">
        <f t="shared" ref="D28:D35" si="7">IFERROR(VLOOKUP(C28,Tabla_Insumos,2,FALSE),"")</f>
        <v/>
      </c>
      <c r="E28" s="444"/>
      <c r="F28" s="299">
        <f t="shared" ref="F28:F35" si="8">IFERROR(VLOOKUP(C28,Tabla_Insumos,3,FALSE),0)</f>
        <v>0</v>
      </c>
      <c r="G28" s="266">
        <f>ROUND(E28*F28,2)</f>
        <v>0</v>
      </c>
    </row>
    <row r="29" spans="1:9" ht="20.100000000000001" customHeight="1" x14ac:dyDescent="0.25">
      <c r="A29" s="294" t="str">
        <f t="shared" si="5"/>
        <v/>
      </c>
      <c r="B29" s="263" t="str">
        <f t="shared" si="6"/>
        <v/>
      </c>
      <c r="C29" s="268"/>
      <c r="D29" s="262" t="str">
        <f t="shared" si="7"/>
        <v/>
      </c>
      <c r="E29" s="444"/>
      <c r="F29" s="299">
        <f t="shared" si="8"/>
        <v>0</v>
      </c>
      <c r="G29" s="266">
        <f t="shared" ref="G29:G35" si="9">ROUND(E29*F29,2)</f>
        <v>0</v>
      </c>
    </row>
    <row r="30" spans="1:9" ht="20.100000000000001" customHeight="1" x14ac:dyDescent="0.25">
      <c r="A30" s="294" t="str">
        <f t="shared" si="5"/>
        <v/>
      </c>
      <c r="B30" s="263" t="str">
        <f t="shared" si="6"/>
        <v/>
      </c>
      <c r="C30" s="269"/>
      <c r="D30" s="262" t="str">
        <f t="shared" si="7"/>
        <v/>
      </c>
      <c r="E30" s="437"/>
      <c r="F30" s="299">
        <f t="shared" si="8"/>
        <v>0</v>
      </c>
      <c r="G30" s="266">
        <f t="shared" si="9"/>
        <v>0</v>
      </c>
    </row>
    <row r="31" spans="1:9" ht="20.100000000000001" customHeight="1" x14ac:dyDescent="0.25">
      <c r="A31" s="294" t="str">
        <f t="shared" si="5"/>
        <v/>
      </c>
      <c r="B31" s="263" t="str">
        <f t="shared" si="6"/>
        <v/>
      </c>
      <c r="C31" s="269"/>
      <c r="D31" s="262" t="str">
        <f t="shared" si="7"/>
        <v/>
      </c>
      <c r="E31" s="437"/>
      <c r="F31" s="299">
        <f t="shared" si="8"/>
        <v>0</v>
      </c>
      <c r="G31" s="266">
        <f t="shared" si="9"/>
        <v>0</v>
      </c>
    </row>
    <row r="32" spans="1:9" ht="20.100000000000001" customHeight="1" x14ac:dyDescent="0.25">
      <c r="A32" s="294" t="str">
        <f t="shared" si="5"/>
        <v/>
      </c>
      <c r="B32" s="263" t="str">
        <f t="shared" si="6"/>
        <v/>
      </c>
      <c r="C32" s="263"/>
      <c r="D32" s="262" t="str">
        <f t="shared" si="7"/>
        <v/>
      </c>
      <c r="E32" s="437"/>
      <c r="F32" s="299">
        <f t="shared" si="8"/>
        <v>0</v>
      </c>
      <c r="G32" s="266">
        <f t="shared" si="9"/>
        <v>0</v>
      </c>
    </row>
    <row r="33" spans="1:7" ht="20.100000000000001" customHeight="1" x14ac:dyDescent="0.25">
      <c r="A33" s="294" t="str">
        <f t="shared" si="5"/>
        <v/>
      </c>
      <c r="B33" s="263" t="str">
        <f t="shared" si="6"/>
        <v/>
      </c>
      <c r="C33" s="263"/>
      <c r="D33" s="262" t="str">
        <f t="shared" si="7"/>
        <v/>
      </c>
      <c r="E33" s="437"/>
      <c r="F33" s="299">
        <f t="shared" si="8"/>
        <v>0</v>
      </c>
      <c r="G33" s="266">
        <f t="shared" si="9"/>
        <v>0</v>
      </c>
    </row>
    <row r="34" spans="1:7" ht="20.100000000000001" customHeight="1" x14ac:dyDescent="0.25">
      <c r="A34" s="294" t="str">
        <f t="shared" si="5"/>
        <v/>
      </c>
      <c r="B34" s="263" t="str">
        <f t="shared" si="6"/>
        <v/>
      </c>
      <c r="C34" s="295"/>
      <c r="D34" s="262" t="str">
        <f t="shared" si="7"/>
        <v/>
      </c>
      <c r="E34" s="296"/>
      <c r="F34" s="299">
        <f t="shared" si="8"/>
        <v>0</v>
      </c>
      <c r="G34" s="266">
        <f t="shared" si="9"/>
        <v>0</v>
      </c>
    </row>
    <row r="35" spans="1:7" ht="20.100000000000001" customHeight="1" x14ac:dyDescent="0.25">
      <c r="A35" s="294" t="str">
        <f t="shared" si="5"/>
        <v/>
      </c>
      <c r="B35" s="263" t="str">
        <f t="shared" si="6"/>
        <v/>
      </c>
      <c r="C35" s="295"/>
      <c r="D35" s="262" t="str">
        <f t="shared" si="7"/>
        <v/>
      </c>
      <c r="E35" s="296"/>
      <c r="F35" s="299">
        <f t="shared" si="8"/>
        <v>0</v>
      </c>
      <c r="G35" s="266">
        <f t="shared" si="9"/>
        <v>0</v>
      </c>
    </row>
    <row r="36" spans="1:7" ht="20.100000000000001" customHeight="1" x14ac:dyDescent="0.25">
      <c r="A36" s="297"/>
      <c r="B36" s="99"/>
      <c r="C36" s="99"/>
      <c r="D36" s="264"/>
      <c r="E36" s="282"/>
      <c r="F36" s="433" t="s">
        <v>28</v>
      </c>
      <c r="G36" s="267">
        <f>SUBTOTAL(9,G28:G35)</f>
        <v>0</v>
      </c>
    </row>
    <row r="37" spans="1:7" ht="20.100000000000001" customHeight="1" x14ac:dyDescent="0.25">
      <c r="A37" s="297"/>
      <c r="B37" s="99"/>
      <c r="C37" s="273" t="s">
        <v>723</v>
      </c>
      <c r="D37" s="264"/>
      <c r="E37" s="282"/>
      <c r="F37" s="283"/>
      <c r="G37" s="298"/>
    </row>
    <row r="38" spans="1:7" ht="20.100000000000001" customHeight="1" x14ac:dyDescent="0.25">
      <c r="A38" s="294" t="str">
        <f>IFERROR(VLOOKUP(C38,Tabla_Insumos,4,FALSE),"")</f>
        <v/>
      </c>
      <c r="B38" s="263" t="str">
        <f t="shared" ref="B38:B46" si="10">IFERROR(VLOOKUP(C38,Tabla_Insumos,5,FALSE),"")</f>
        <v/>
      </c>
      <c r="C38" s="269"/>
      <c r="D38" s="262" t="str">
        <f t="shared" ref="D38:D46" si="11">IFERROR(VLOOKUP(C38,Tabla_Insumos,2,FALSE),"")</f>
        <v/>
      </c>
      <c r="E38" s="443"/>
      <c r="F38" s="265">
        <f>IFERROR(VLOOKUP(C38,Tabla_Insumos,3,FALSE),0)</f>
        <v>0</v>
      </c>
      <c r="G38" s="266">
        <f>ROUND(E38*F38,2)</f>
        <v>0</v>
      </c>
    </row>
    <row r="39" spans="1:7" ht="20.100000000000001" customHeight="1" x14ac:dyDescent="0.25">
      <c r="A39" s="294" t="str">
        <f t="shared" ref="A39:A46" si="12">IFERROR(VLOOKUP(C39,Tabla_Insumos,4,FALSE),"")</f>
        <v/>
      </c>
      <c r="B39" s="263" t="str">
        <f t="shared" si="10"/>
        <v/>
      </c>
      <c r="C39" s="440"/>
      <c r="D39" s="262" t="str">
        <f t="shared" si="11"/>
        <v/>
      </c>
      <c r="E39" s="443"/>
      <c r="F39" s="265">
        <f t="shared" ref="F39:F46" si="13">IFERROR(VLOOKUP(C39,Tabla_Insumos,3,FALSE),0)</f>
        <v>0</v>
      </c>
      <c r="G39" s="266">
        <f t="shared" ref="G39:G46" si="14">ROUND(E39*F39,2)</f>
        <v>0</v>
      </c>
    </row>
    <row r="40" spans="1:7" ht="20.100000000000001" customHeight="1" x14ac:dyDescent="0.25">
      <c r="A40" s="294" t="str">
        <f t="shared" si="12"/>
        <v/>
      </c>
      <c r="B40" s="263" t="str">
        <f t="shared" si="10"/>
        <v/>
      </c>
      <c r="C40" s="268"/>
      <c r="D40" s="262" t="str">
        <f t="shared" si="11"/>
        <v/>
      </c>
      <c r="E40" s="437"/>
      <c r="F40" s="265">
        <f t="shared" si="13"/>
        <v>0</v>
      </c>
      <c r="G40" s="266">
        <f t="shared" si="14"/>
        <v>0</v>
      </c>
    </row>
    <row r="41" spans="1:7" ht="20.100000000000001" customHeight="1" x14ac:dyDescent="0.25">
      <c r="A41" s="294" t="str">
        <f t="shared" si="12"/>
        <v/>
      </c>
      <c r="B41" s="263" t="str">
        <f t="shared" si="10"/>
        <v/>
      </c>
      <c r="C41" s="440"/>
      <c r="D41" s="262" t="str">
        <f t="shared" si="11"/>
        <v/>
      </c>
      <c r="E41" s="437"/>
      <c r="F41" s="265">
        <f t="shared" si="13"/>
        <v>0</v>
      </c>
      <c r="G41" s="266">
        <f t="shared" si="14"/>
        <v>0</v>
      </c>
    </row>
    <row r="42" spans="1:7" ht="20.100000000000001" customHeight="1" x14ac:dyDescent="0.25">
      <c r="A42" s="294" t="str">
        <f t="shared" si="12"/>
        <v/>
      </c>
      <c r="B42" s="263" t="str">
        <f t="shared" si="10"/>
        <v/>
      </c>
      <c r="C42" s="441"/>
      <c r="D42" s="262" t="str">
        <f t="shared" si="11"/>
        <v/>
      </c>
      <c r="E42" s="437"/>
      <c r="F42" s="265">
        <f t="shared" si="13"/>
        <v>0</v>
      </c>
      <c r="G42" s="266">
        <f t="shared" si="14"/>
        <v>0</v>
      </c>
    </row>
    <row r="43" spans="1:7" ht="20.100000000000001" customHeight="1" x14ac:dyDescent="0.25">
      <c r="A43" s="294" t="str">
        <f t="shared" si="12"/>
        <v/>
      </c>
      <c r="B43" s="263" t="str">
        <f t="shared" si="10"/>
        <v/>
      </c>
      <c r="C43" s="295"/>
      <c r="D43" s="262" t="str">
        <f t="shared" si="11"/>
        <v/>
      </c>
      <c r="E43" s="296"/>
      <c r="F43" s="265">
        <f t="shared" si="13"/>
        <v>0</v>
      </c>
      <c r="G43" s="266">
        <f t="shared" si="14"/>
        <v>0</v>
      </c>
    </row>
    <row r="44" spans="1:7" ht="20.100000000000001" customHeight="1" x14ac:dyDescent="0.25">
      <c r="A44" s="294" t="str">
        <f t="shared" si="12"/>
        <v/>
      </c>
      <c r="B44" s="263" t="str">
        <f t="shared" si="10"/>
        <v/>
      </c>
      <c r="C44" s="295"/>
      <c r="D44" s="262" t="str">
        <f t="shared" si="11"/>
        <v/>
      </c>
      <c r="E44" s="296"/>
      <c r="F44" s="265">
        <f t="shared" si="13"/>
        <v>0</v>
      </c>
      <c r="G44" s="266">
        <f t="shared" si="14"/>
        <v>0</v>
      </c>
    </row>
    <row r="45" spans="1:7" ht="20.100000000000001" customHeight="1" x14ac:dyDescent="0.25">
      <c r="A45" s="294" t="str">
        <f t="shared" si="12"/>
        <v/>
      </c>
      <c r="B45" s="263" t="str">
        <f t="shared" si="10"/>
        <v/>
      </c>
      <c r="C45" s="295"/>
      <c r="D45" s="262" t="str">
        <f t="shared" si="11"/>
        <v/>
      </c>
      <c r="E45" s="296"/>
      <c r="F45" s="265">
        <f t="shared" si="13"/>
        <v>0</v>
      </c>
      <c r="G45" s="266">
        <f t="shared" si="14"/>
        <v>0</v>
      </c>
    </row>
    <row r="46" spans="1:7" ht="20.100000000000001" customHeight="1" x14ac:dyDescent="0.25">
      <c r="A46" s="294" t="str">
        <f t="shared" si="12"/>
        <v/>
      </c>
      <c r="B46" s="263" t="str">
        <f t="shared" si="10"/>
        <v/>
      </c>
      <c r="C46" s="295"/>
      <c r="D46" s="262" t="str">
        <f t="shared" si="11"/>
        <v/>
      </c>
      <c r="E46" s="296"/>
      <c r="F46" s="265">
        <f t="shared" si="13"/>
        <v>0</v>
      </c>
      <c r="G46" s="266">
        <f t="shared" si="14"/>
        <v>0</v>
      </c>
    </row>
    <row r="47" spans="1:7" ht="20.100000000000001" customHeight="1" x14ac:dyDescent="0.25">
      <c r="A47" s="300"/>
      <c r="B47" s="264"/>
      <c r="C47" s="99"/>
      <c r="D47" s="264"/>
      <c r="E47" s="282"/>
      <c r="F47" s="433" t="s">
        <v>29</v>
      </c>
      <c r="G47" s="267">
        <f>SUBTOTAL(9,G38:G46)</f>
        <v>0</v>
      </c>
    </row>
    <row r="48" spans="1:7" ht="20.100000000000001" customHeight="1" thickBot="1" x14ac:dyDescent="0.3">
      <c r="A48" s="301"/>
      <c r="B48" s="302"/>
      <c r="C48" s="303"/>
      <c r="D48" s="302"/>
      <c r="E48" s="304"/>
      <c r="F48" s="305"/>
      <c r="G48" s="306"/>
    </row>
    <row r="49" spans="1:7" ht="20.100000000000001" customHeight="1" thickBot="1" x14ac:dyDescent="0.3">
      <c r="A49" s="316" t="str">
        <f>B7</f>
        <v>1.1</v>
      </c>
      <c r="B49" s="307" t="str">
        <f>C7</f>
        <v>Limpieza general, incluye desmalezamiento, demolición de construcciones existentes</v>
      </c>
      <c r="C49" s="308"/>
      <c r="D49" s="308" t="s">
        <v>30</v>
      </c>
      <c r="E49" s="309"/>
      <c r="F49" s="310" t="s">
        <v>31</v>
      </c>
      <c r="G49" s="311">
        <f>SUBTOTAL(9,G12:G48)</f>
        <v>0</v>
      </c>
    </row>
    <row r="50" spans="1:7" ht="20.100000000000001" customHeight="1" thickTop="1" x14ac:dyDescent="0.25"/>
  </sheetData>
  <mergeCells count="6">
    <mergeCell ref="G9:G10"/>
    <mergeCell ref="A9:B9"/>
    <mergeCell ref="C9:C10"/>
    <mergeCell ref="D9:D10"/>
    <mergeCell ref="E9:E10"/>
    <mergeCell ref="F9:F10"/>
  </mergeCells>
  <pageMargins left="0.78740157480314965" right="0.39370078740157483" top="1.1811023622047245" bottom="0.78740157480314965" header="0.39370078740157483" footer="0.39370078740157483"/>
  <pageSetup paperSize="9" scale="60" fitToHeight="111" orientation="portrait" r:id="rId1"/>
  <headerFooter>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S38"/>
  <sheetViews>
    <sheetView workbookViewId="0">
      <selection activeCell="R24" sqref="R24"/>
    </sheetView>
  </sheetViews>
  <sheetFormatPr baseColWidth="10" defaultColWidth="10.6640625" defaultRowHeight="14.4" x14ac:dyDescent="0.3"/>
  <cols>
    <col min="1" max="18" width="10.6640625" style="1"/>
    <col min="19" max="19" width="16.33203125" style="1" customWidth="1"/>
    <col min="20" max="16384" width="10.6640625" style="1"/>
  </cols>
  <sheetData>
    <row r="1" spans="7:7" ht="22.8" x14ac:dyDescent="0.3">
      <c r="G1" s="100" t="str">
        <f>"OBRA:  "&amp; Obra</f>
        <v>OBRA:  LA NAVE - 103 DEPARTAMENTOS - CAPITAL</v>
      </c>
    </row>
    <row r="2" spans="7:7" ht="22.8" x14ac:dyDescent="0.3">
      <c r="G2" s="100" t="s">
        <v>1130</v>
      </c>
    </row>
    <row r="3" spans="7:7" ht="22.8" x14ac:dyDescent="0.3">
      <c r="G3" s="100" t="s">
        <v>1131</v>
      </c>
    </row>
    <row r="25" spans="19:19" x14ac:dyDescent="0.3">
      <c r="S25" s="494"/>
    </row>
    <row r="31" spans="19:19" x14ac:dyDescent="0.3">
      <c r="S31" s="494"/>
    </row>
    <row r="38" spans="2:2" x14ac:dyDescent="0.3">
      <c r="B38" s="497"/>
    </row>
  </sheetData>
  <printOptions horizontalCentered="1"/>
  <pageMargins left="1.7716535433070868" right="0.78740157480314965" top="1.3779527559055118" bottom="0.78740157480314965" header="0.59055118110236227" footer="0.39370078740157483"/>
  <pageSetup paperSize="5" scale="81" orientation="landscape" r:id="rId1"/>
  <headerFooter>
    <oddHeader>&amp;C&amp;G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G1:G3"/>
  <sheetViews>
    <sheetView workbookViewId="0"/>
  </sheetViews>
  <sheetFormatPr baseColWidth="10" defaultColWidth="11.44140625" defaultRowHeight="14.4" x14ac:dyDescent="0.3"/>
  <cols>
    <col min="1" max="2" width="11.44140625" style="1"/>
    <col min="3" max="10" width="13.33203125" style="1" bestFit="1" customWidth="1"/>
    <col min="11" max="11" width="23.33203125" style="1" customWidth="1"/>
    <col min="12" max="32" width="13.33203125" style="1" bestFit="1" customWidth="1"/>
    <col min="33" max="33" width="14.44140625" style="1" bestFit="1" customWidth="1"/>
    <col min="34" max="34" width="13.5546875" style="1" bestFit="1" customWidth="1"/>
    <col min="35" max="35" width="15.109375" style="1" customWidth="1"/>
    <col min="36" max="37" width="11.44140625" style="1"/>
    <col min="38" max="38" width="18.6640625" style="1" customWidth="1"/>
    <col min="39" max="42" width="11.44140625" style="1"/>
    <col min="43" max="43" width="14.44140625" style="1" bestFit="1" customWidth="1"/>
    <col min="44" max="16384" width="11.44140625" style="1"/>
  </cols>
  <sheetData>
    <row r="1" spans="7:7" ht="22.8" x14ac:dyDescent="0.3">
      <c r="G1" s="100" t="str">
        <f>"OBRA:  "&amp; Obra</f>
        <v>OBRA:  LA NAVE - 103 DEPARTAMENTOS - CAPITAL</v>
      </c>
    </row>
    <row r="2" spans="7:7" ht="22.8" x14ac:dyDescent="0.3">
      <c r="G2" s="100" t="s">
        <v>1132</v>
      </c>
    </row>
    <row r="3" spans="7:7" ht="22.8" x14ac:dyDescent="0.3">
      <c r="G3" s="100" t="s">
        <v>1133</v>
      </c>
    </row>
  </sheetData>
  <printOptions horizontalCentered="1"/>
  <pageMargins left="1.1811023622047245" right="0.78740157480314965" top="1.3779527559055118" bottom="0.78740157480314965" header="0.59055118110236227" footer="0.39370078740157483"/>
  <pageSetup paperSize="5" scale="71" pageOrder="overThenDown" orientation="landscape" r:id="rId1"/>
  <headerFooter>
    <oddHeader xml:space="preserve">&amp;C&amp;G
</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46"/>
  <sheetViews>
    <sheetView workbookViewId="0">
      <selection activeCell="J13" sqref="J13"/>
    </sheetView>
  </sheetViews>
  <sheetFormatPr baseColWidth="10" defaultColWidth="11.44140625" defaultRowHeight="15" customHeight="1" x14ac:dyDescent="0.25"/>
  <cols>
    <col min="1" max="1" width="66.109375" style="99" customWidth="1"/>
    <col min="2" max="2" width="7.5546875" style="264" bestFit="1" customWidth="1"/>
    <col min="3" max="3" width="19.88671875" style="363" customWidth="1"/>
    <col min="4" max="4" width="20.109375" style="99" customWidth="1"/>
    <col min="5" max="5" width="48.6640625" style="99" customWidth="1"/>
    <col min="6" max="6" width="11.44140625" style="101"/>
    <col min="7" max="7" width="12" style="101" bestFit="1" customWidth="1"/>
    <col min="8" max="9" width="11.44140625" style="101"/>
    <col min="10" max="10" width="18" style="101" customWidth="1"/>
    <col min="11" max="16384" width="11.44140625" style="101"/>
  </cols>
  <sheetData>
    <row r="1" spans="1:5" ht="15" customHeight="1" x14ac:dyDescent="0.25">
      <c r="A1" s="281" t="s">
        <v>1113</v>
      </c>
    </row>
    <row r="3" spans="1:5" ht="15" customHeight="1" x14ac:dyDescent="0.25">
      <c r="A3" s="281" t="s">
        <v>1121</v>
      </c>
      <c r="B3" s="281" t="s">
        <v>1232</v>
      </c>
      <c r="C3" s="425" t="s">
        <v>1233</v>
      </c>
      <c r="D3" s="273" t="s">
        <v>1111</v>
      </c>
      <c r="E3" s="273" t="s">
        <v>1112</v>
      </c>
    </row>
    <row r="4" spans="1:5" ht="15" customHeight="1" x14ac:dyDescent="0.25">
      <c r="A4" s="446" t="s">
        <v>1234</v>
      </c>
      <c r="B4" s="447"/>
      <c r="C4" s="448"/>
      <c r="D4" s="449"/>
      <c r="E4" s="449"/>
    </row>
    <row r="5" spans="1:5" ht="15" customHeight="1" x14ac:dyDescent="0.25">
      <c r="A5" s="317"/>
      <c r="B5" s="364"/>
      <c r="C5" s="365"/>
      <c r="D5" s="317"/>
      <c r="E5" s="317"/>
    </row>
    <row r="6" spans="1:5" ht="15" customHeight="1" x14ac:dyDescent="0.25">
      <c r="A6" s="317"/>
      <c r="B6" s="364"/>
      <c r="C6" s="365"/>
      <c r="D6" s="317"/>
      <c r="E6" s="317"/>
    </row>
    <row r="7" spans="1:5" ht="15" customHeight="1" x14ac:dyDescent="0.25">
      <c r="A7" s="317"/>
      <c r="B7" s="364"/>
      <c r="C7" s="365"/>
      <c r="D7" s="317"/>
      <c r="E7" s="317"/>
    </row>
    <row r="8" spans="1:5" ht="15" customHeight="1" x14ac:dyDescent="0.25">
      <c r="A8" s="317"/>
      <c r="B8" s="364"/>
      <c r="C8" s="365"/>
      <c r="D8" s="317"/>
      <c r="E8" s="317"/>
    </row>
    <row r="10" spans="1:5" ht="15" customHeight="1" x14ac:dyDescent="0.25">
      <c r="A10" s="363"/>
      <c r="B10" s="363"/>
      <c r="E10" s="517"/>
    </row>
    <row r="11" spans="1:5" ht="15" customHeight="1" x14ac:dyDescent="0.25">
      <c r="A11" s="446" t="s">
        <v>1235</v>
      </c>
      <c r="B11" s="447"/>
      <c r="C11" s="448"/>
      <c r="D11" s="449"/>
      <c r="E11" s="449" t="str">
        <f t="shared" ref="E11" si="0">IFERROR(VLOOKUP(D11,Tabla_Indices,5,FALSE),"")</f>
        <v/>
      </c>
    </row>
    <row r="12" spans="1:5" ht="15" customHeight="1" x14ac:dyDescent="0.25">
      <c r="A12" s="317"/>
      <c r="B12" s="364"/>
      <c r="C12" s="365"/>
      <c r="D12" s="317"/>
      <c r="E12" s="317"/>
    </row>
    <row r="13" spans="1:5" ht="15" customHeight="1" x14ac:dyDescent="0.25">
      <c r="A13" s="515"/>
      <c r="B13" s="364"/>
      <c r="C13" s="365"/>
      <c r="D13" s="317"/>
      <c r="E13" s="317"/>
    </row>
    <row r="14" spans="1:5" ht="15" customHeight="1" x14ac:dyDescent="0.25">
      <c r="A14" s="317"/>
      <c r="B14" s="364"/>
      <c r="C14" s="365"/>
      <c r="D14" s="317"/>
      <c r="E14" s="317"/>
    </row>
    <row r="15" spans="1:5" ht="15" customHeight="1" x14ac:dyDescent="0.25">
      <c r="A15" s="317"/>
      <c r="B15" s="364"/>
      <c r="C15" s="365"/>
      <c r="D15" s="317"/>
      <c r="E15" s="317"/>
    </row>
    <row r="16" spans="1:5" ht="15" customHeight="1" x14ac:dyDescent="0.25">
      <c r="A16" s="515"/>
      <c r="B16" s="364"/>
      <c r="C16" s="365"/>
      <c r="D16" s="317"/>
      <c r="E16" s="317"/>
    </row>
    <row r="17" spans="1:5" ht="15" customHeight="1" x14ac:dyDescent="0.25">
      <c r="A17" s="317"/>
      <c r="B17" s="364"/>
      <c r="C17" s="365"/>
      <c r="D17" s="317"/>
      <c r="E17" s="317"/>
    </row>
    <row r="18" spans="1:5" ht="15" customHeight="1" x14ac:dyDescent="0.25">
      <c r="A18" s="317"/>
      <c r="B18" s="364"/>
      <c r="C18" s="365"/>
      <c r="D18" s="317"/>
      <c r="E18" s="317"/>
    </row>
    <row r="19" spans="1:5" ht="15" customHeight="1" x14ac:dyDescent="0.25">
      <c r="A19" s="515"/>
      <c r="B19" s="364"/>
      <c r="C19" s="365"/>
      <c r="D19" s="317"/>
      <c r="E19" s="317"/>
    </row>
    <row r="20" spans="1:5" ht="15" customHeight="1" x14ac:dyDescent="0.25">
      <c r="A20" s="317"/>
      <c r="B20" s="364"/>
      <c r="C20" s="365"/>
      <c r="D20" s="317"/>
      <c r="E20" s="317"/>
    </row>
    <row r="21" spans="1:5" ht="15" customHeight="1" x14ac:dyDescent="0.25">
      <c r="A21" s="317"/>
      <c r="B21" s="364"/>
      <c r="C21" s="365"/>
      <c r="D21" s="317"/>
      <c r="E21" s="317"/>
    </row>
    <row r="22" spans="1:5" ht="15" customHeight="1" x14ac:dyDescent="0.25">
      <c r="A22" s="317"/>
      <c r="B22" s="364"/>
      <c r="C22" s="365"/>
      <c r="D22" s="317"/>
      <c r="E22" s="317"/>
    </row>
    <row r="23" spans="1:5" ht="15" customHeight="1" x14ac:dyDescent="0.25">
      <c r="A23" s="317"/>
      <c r="B23" s="364"/>
      <c r="C23" s="365"/>
      <c r="D23" s="317"/>
      <c r="E23" s="317"/>
    </row>
    <row r="24" spans="1:5" ht="15" customHeight="1" x14ac:dyDescent="0.25">
      <c r="A24" s="317"/>
      <c r="B24" s="364"/>
      <c r="C24" s="365"/>
      <c r="D24" s="317"/>
      <c r="E24" s="317"/>
    </row>
    <row r="25" spans="1:5" ht="15" customHeight="1" x14ac:dyDescent="0.25">
      <c r="A25" s="317"/>
      <c r="B25" s="364"/>
      <c r="C25" s="365"/>
      <c r="D25" s="317"/>
      <c r="E25" s="317"/>
    </row>
    <row r="26" spans="1:5" ht="15" customHeight="1" x14ac:dyDescent="0.25">
      <c r="A26" s="317"/>
      <c r="B26" s="364"/>
      <c r="C26" s="365"/>
      <c r="D26" s="317"/>
      <c r="E26" s="317"/>
    </row>
    <row r="27" spans="1:5" ht="15" customHeight="1" x14ac:dyDescent="0.25">
      <c r="A27" s="317"/>
      <c r="B27" s="364"/>
      <c r="C27" s="365"/>
      <c r="D27" s="317"/>
      <c r="E27" s="317"/>
    </row>
    <row r="29" spans="1:5" ht="15" customHeight="1" x14ac:dyDescent="0.25">
      <c r="E29" s="99" t="s">
        <v>1546</v>
      </c>
    </row>
    <row r="30" spans="1:5" ht="15" customHeight="1" x14ac:dyDescent="0.25">
      <c r="A30" s="446" t="s">
        <v>1547</v>
      </c>
      <c r="B30" s="447"/>
      <c r="C30" s="448"/>
      <c r="D30" s="449"/>
      <c r="E30" s="449" t="str">
        <f t="shared" ref="E30" si="1">IFERROR(VLOOKUP(D30,Tabla_Indices,5,FALSE),"")</f>
        <v/>
      </c>
    </row>
    <row r="31" spans="1:5" ht="15" customHeight="1" x14ac:dyDescent="0.25">
      <c r="A31" s="317"/>
      <c r="B31" s="364"/>
      <c r="C31" s="365"/>
      <c r="D31" s="317"/>
      <c r="E31" s="317"/>
    </row>
    <row r="32" spans="1:5" ht="15" customHeight="1" x14ac:dyDescent="0.25">
      <c r="A32" s="515"/>
      <c r="B32" s="364"/>
      <c r="C32" s="365"/>
      <c r="D32" s="317"/>
      <c r="E32" s="317"/>
    </row>
    <row r="33" spans="1:5" ht="15" customHeight="1" x14ac:dyDescent="0.25">
      <c r="A33" s="317"/>
      <c r="B33" s="364"/>
      <c r="C33" s="365"/>
      <c r="D33" s="317"/>
      <c r="E33" s="317"/>
    </row>
    <row r="34" spans="1:5" ht="15" customHeight="1" x14ac:dyDescent="0.25">
      <c r="A34" s="317"/>
      <c r="B34" s="364"/>
      <c r="C34" s="365"/>
      <c r="D34" s="317"/>
      <c r="E34" s="317"/>
    </row>
    <row r="35" spans="1:5" ht="15" customHeight="1" x14ac:dyDescent="0.25">
      <c r="A35" s="515"/>
      <c r="B35" s="364"/>
      <c r="C35" s="365"/>
      <c r="D35" s="317"/>
      <c r="E35" s="317"/>
    </row>
    <row r="36" spans="1:5" ht="15" customHeight="1" x14ac:dyDescent="0.25">
      <c r="A36" s="317"/>
      <c r="B36" s="364"/>
      <c r="C36" s="365"/>
      <c r="D36" s="317"/>
      <c r="E36" s="317"/>
    </row>
    <row r="37" spans="1:5" ht="15" customHeight="1" x14ac:dyDescent="0.25">
      <c r="A37" s="317"/>
      <c r="B37" s="364"/>
      <c r="C37" s="365"/>
      <c r="D37" s="317"/>
      <c r="E37" s="317"/>
    </row>
    <row r="38" spans="1:5" ht="15" customHeight="1" x14ac:dyDescent="0.25">
      <c r="A38" s="515"/>
      <c r="B38" s="364"/>
      <c r="C38" s="365"/>
      <c r="D38" s="317"/>
      <c r="E38" s="317"/>
    </row>
    <row r="39" spans="1:5" ht="15" customHeight="1" x14ac:dyDescent="0.25">
      <c r="A39" s="317"/>
      <c r="B39" s="364"/>
      <c r="C39" s="365"/>
      <c r="D39" s="317"/>
      <c r="E39" s="317"/>
    </row>
    <row r="40" spans="1:5" ht="15" customHeight="1" x14ac:dyDescent="0.25">
      <c r="A40" s="317"/>
      <c r="B40" s="364"/>
      <c r="C40" s="365"/>
      <c r="D40" s="317"/>
      <c r="E40" s="317"/>
    </row>
    <row r="41" spans="1:5" ht="15" customHeight="1" x14ac:dyDescent="0.25">
      <c r="A41" s="317"/>
      <c r="B41" s="364"/>
      <c r="C41" s="365"/>
      <c r="D41" s="317"/>
      <c r="E41" s="317"/>
    </row>
    <row r="42" spans="1:5" ht="15" customHeight="1" x14ac:dyDescent="0.25">
      <c r="A42" s="317"/>
      <c r="B42" s="364"/>
      <c r="C42" s="365"/>
      <c r="D42" s="317"/>
      <c r="E42" s="317"/>
    </row>
    <row r="43" spans="1:5" ht="15" customHeight="1" x14ac:dyDescent="0.25">
      <c r="A43" s="317"/>
      <c r="B43" s="364"/>
      <c r="C43" s="365"/>
      <c r="D43" s="317"/>
      <c r="E43" s="317"/>
    </row>
    <row r="44" spans="1:5" ht="15" customHeight="1" x14ac:dyDescent="0.25">
      <c r="A44" s="317"/>
      <c r="B44" s="364"/>
      <c r="C44" s="365"/>
      <c r="D44" s="317"/>
      <c r="E44" s="317"/>
    </row>
    <row r="45" spans="1:5" ht="15" customHeight="1" x14ac:dyDescent="0.25">
      <c r="A45" s="317"/>
      <c r="B45" s="364"/>
      <c r="C45" s="365"/>
      <c r="D45" s="317"/>
      <c r="E45" s="317"/>
    </row>
    <row r="46" spans="1:5" ht="15" customHeight="1" x14ac:dyDescent="0.25">
      <c r="A46" s="317"/>
      <c r="B46" s="364"/>
      <c r="C46" s="365"/>
      <c r="D46" s="317"/>
      <c r="E46" s="317"/>
    </row>
  </sheetData>
  <phoneticPr fontId="45" type="noConversion"/>
  <pageMargins left="1.1811023622047245" right="0.78740157480314965" top="0.78740157480314965" bottom="0.78740157480314965" header="0.39370078740157483" footer="0.39370078740157483"/>
  <pageSetup paperSize="9" scale="85" fitToHeight="111" orientation="portrait" r:id="rId1"/>
  <headerFooter>
    <oddHeader>&amp;L&amp;G</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workbookViewId="0"/>
  </sheetViews>
  <sheetFormatPr baseColWidth="10" defaultColWidth="11.44140625" defaultRowHeight="10.199999999999999" x14ac:dyDescent="0.25"/>
  <cols>
    <col min="1" max="1" width="22" style="10" bestFit="1" customWidth="1"/>
    <col min="2" max="2" width="6.109375" style="10" customWidth="1"/>
    <col min="3" max="3" width="1.44140625" style="10" customWidth="1"/>
    <col min="4" max="4" width="2.6640625" style="8" customWidth="1"/>
    <col min="5" max="5" width="33.88671875" style="10" customWidth="1"/>
    <col min="6" max="7" width="10.6640625" style="10" customWidth="1"/>
    <col min="8" max="16384" width="11.44140625" style="10"/>
  </cols>
  <sheetData>
    <row r="1" spans="1:7" s="6" customFormat="1" x14ac:dyDescent="0.25">
      <c r="B1" s="6" t="s">
        <v>547</v>
      </c>
      <c r="D1" s="7"/>
    </row>
    <row r="3" spans="1:7" ht="12.75" customHeight="1" x14ac:dyDescent="0.25">
      <c r="A3" s="620" t="s">
        <v>348</v>
      </c>
      <c r="B3" s="8" t="s">
        <v>43</v>
      </c>
      <c r="C3" s="9"/>
      <c r="D3" s="9"/>
      <c r="E3" s="620" t="s">
        <v>44</v>
      </c>
      <c r="F3" s="9"/>
      <c r="G3" s="9"/>
    </row>
    <row r="4" spans="1:7" ht="11.4" x14ac:dyDescent="0.25">
      <c r="A4" s="620"/>
      <c r="B4" s="8" t="s">
        <v>45</v>
      </c>
      <c r="C4" s="9"/>
      <c r="D4" s="9"/>
      <c r="E4" s="620"/>
      <c r="F4" s="9"/>
      <c r="G4" s="9"/>
    </row>
    <row r="5" spans="1:7" x14ac:dyDescent="0.25">
      <c r="A5" s="7"/>
      <c r="B5" s="7"/>
      <c r="C5" s="7"/>
      <c r="D5" s="7"/>
      <c r="E5" s="7"/>
      <c r="F5" s="7"/>
      <c r="G5" s="7"/>
    </row>
    <row r="6" spans="1:7" ht="11.25" customHeight="1" x14ac:dyDescent="0.25">
      <c r="A6" s="8" t="str">
        <f t="shared" ref="A6:A69" si="0">CONCATENATE("INDEC-CM - ",B6,C6,D6)</f>
        <v>INDEC-CM - 37210-51</v>
      </c>
      <c r="B6" s="11">
        <v>37210</v>
      </c>
      <c r="C6" s="12" t="s">
        <v>46</v>
      </c>
      <c r="D6" s="8">
        <v>51</v>
      </c>
      <c r="E6" s="10" t="s">
        <v>47</v>
      </c>
    </row>
    <row r="7" spans="1:7" x14ac:dyDescent="0.25">
      <c r="A7" s="8" t="str">
        <f t="shared" si="0"/>
        <v>INDEC-CM - 37210-52</v>
      </c>
      <c r="B7" s="11">
        <v>37210</v>
      </c>
      <c r="C7" s="12" t="s">
        <v>46</v>
      </c>
      <c r="D7" s="8">
        <v>52</v>
      </c>
      <c r="E7" s="10" t="s">
        <v>48</v>
      </c>
    </row>
    <row r="8" spans="1:7" x14ac:dyDescent="0.25">
      <c r="A8" s="8" t="str">
        <f t="shared" si="0"/>
        <v>INDEC-CM - 42911-81</v>
      </c>
      <c r="B8" s="11">
        <v>42911</v>
      </c>
      <c r="C8" s="12" t="s">
        <v>46</v>
      </c>
      <c r="D8" s="8">
        <v>81</v>
      </c>
      <c r="E8" s="13" t="s">
        <v>49</v>
      </c>
      <c r="F8" s="13"/>
      <c r="G8" s="13"/>
    </row>
    <row r="9" spans="1:7" x14ac:dyDescent="0.25">
      <c r="A9" s="8" t="str">
        <f t="shared" si="0"/>
        <v>INDEC-CM - 41242-11</v>
      </c>
      <c r="B9" s="11">
        <v>41242</v>
      </c>
      <c r="C9" s="12" t="s">
        <v>46</v>
      </c>
      <c r="D9" s="8">
        <v>11</v>
      </c>
      <c r="E9" s="13" t="s">
        <v>50</v>
      </c>
      <c r="F9" s="13"/>
      <c r="G9" s="13"/>
    </row>
    <row r="10" spans="1:7" x14ac:dyDescent="0.25">
      <c r="A10" s="8" t="str">
        <f t="shared" si="0"/>
        <v>INDEC-CM - 37440-21</v>
      </c>
      <c r="B10" s="11">
        <v>37440</v>
      </c>
      <c r="C10" s="12" t="s">
        <v>46</v>
      </c>
      <c r="D10" s="8">
        <v>21</v>
      </c>
      <c r="E10" s="10" t="s">
        <v>51</v>
      </c>
    </row>
    <row r="11" spans="1:7" x14ac:dyDescent="0.25">
      <c r="A11" s="8" t="str">
        <f t="shared" si="0"/>
        <v>INDEC-CM - 38130-13</v>
      </c>
      <c r="B11" s="11">
        <v>38130</v>
      </c>
      <c r="C11" s="12" t="s">
        <v>46</v>
      </c>
      <c r="D11" s="8">
        <v>13</v>
      </c>
      <c r="E11" s="13" t="s">
        <v>52</v>
      </c>
      <c r="F11" s="13"/>
      <c r="G11" s="13"/>
    </row>
    <row r="12" spans="1:7" x14ac:dyDescent="0.25">
      <c r="A12" s="8" t="str">
        <f t="shared" si="0"/>
        <v>INDEC-CM - 38130-12</v>
      </c>
      <c r="B12" s="11">
        <v>38130</v>
      </c>
      <c r="C12" s="12" t="s">
        <v>46</v>
      </c>
      <c r="D12" s="8">
        <v>12</v>
      </c>
      <c r="E12" s="13" t="s">
        <v>53</v>
      </c>
      <c r="F12" s="13"/>
      <c r="G12" s="13"/>
    </row>
    <row r="13" spans="1:7" x14ac:dyDescent="0.25">
      <c r="A13" s="8" t="str">
        <f t="shared" si="0"/>
        <v>INDEC-CM - 38130-11</v>
      </c>
      <c r="B13" s="11">
        <v>38130</v>
      </c>
      <c r="C13" s="12" t="s">
        <v>46</v>
      </c>
      <c r="D13" s="8">
        <v>11</v>
      </c>
      <c r="E13" s="13" t="s">
        <v>54</v>
      </c>
      <c r="F13" s="13"/>
      <c r="G13" s="13"/>
    </row>
    <row r="14" spans="1:7" x14ac:dyDescent="0.25">
      <c r="A14" s="8" t="str">
        <f t="shared" si="0"/>
        <v>INDEC-CM - 27230-11</v>
      </c>
      <c r="B14" s="11">
        <v>27230</v>
      </c>
      <c r="C14" s="12" t="s">
        <v>46</v>
      </c>
      <c r="D14" s="8">
        <v>11</v>
      </c>
      <c r="E14" s="13" t="s">
        <v>55</v>
      </c>
      <c r="F14" s="13"/>
      <c r="G14" s="13"/>
    </row>
    <row r="15" spans="1:7" x14ac:dyDescent="0.25">
      <c r="A15" s="8" t="str">
        <f t="shared" si="0"/>
        <v>INDEC-CM - 44821-11</v>
      </c>
      <c r="B15" s="11">
        <v>44821</v>
      </c>
      <c r="C15" s="12" t="s">
        <v>46</v>
      </c>
      <c r="D15" s="8">
        <v>11</v>
      </c>
      <c r="E15" s="10" t="s">
        <v>56</v>
      </c>
    </row>
    <row r="16" spans="1:7" x14ac:dyDescent="0.25">
      <c r="A16" s="8" t="str">
        <f t="shared" si="0"/>
        <v>INDEC-CM - 37560-11</v>
      </c>
      <c r="B16" s="11">
        <v>37560</v>
      </c>
      <c r="C16" s="12" t="s">
        <v>46</v>
      </c>
      <c r="D16" s="8">
        <v>11</v>
      </c>
      <c r="E16" s="13" t="s">
        <v>57</v>
      </c>
      <c r="F16" s="13"/>
      <c r="G16" s="13"/>
    </row>
    <row r="17" spans="1:7" x14ac:dyDescent="0.25">
      <c r="A17" s="8" t="str">
        <f t="shared" si="0"/>
        <v>INDEC-CM - 15400-11</v>
      </c>
      <c r="B17" s="11">
        <v>15400</v>
      </c>
      <c r="C17" s="12" t="s">
        <v>46</v>
      </c>
      <c r="D17" s="8">
        <v>11</v>
      </c>
      <c r="E17" s="13" t="s">
        <v>58</v>
      </c>
      <c r="F17" s="13"/>
      <c r="G17" s="13"/>
    </row>
    <row r="18" spans="1:7" x14ac:dyDescent="0.25">
      <c r="A18" s="8" t="str">
        <f t="shared" si="0"/>
        <v>INDEC-CM - 15310-11</v>
      </c>
      <c r="B18" s="11">
        <v>15310</v>
      </c>
      <c r="C18" s="12" t="s">
        <v>46</v>
      </c>
      <c r="D18" s="8">
        <v>11</v>
      </c>
      <c r="E18" s="10" t="s">
        <v>59</v>
      </c>
    </row>
    <row r="19" spans="1:7" x14ac:dyDescent="0.25">
      <c r="A19" s="8" t="str">
        <f t="shared" si="0"/>
        <v>INDEC-CM - 46531-11</v>
      </c>
      <c r="B19" s="11">
        <v>46531</v>
      </c>
      <c r="C19" s="12" t="s">
        <v>46</v>
      </c>
      <c r="D19" s="8">
        <v>11</v>
      </c>
      <c r="E19" s="13" t="s">
        <v>60</v>
      </c>
      <c r="F19" s="13"/>
      <c r="G19" s="13"/>
    </row>
    <row r="20" spans="1:7" x14ac:dyDescent="0.25">
      <c r="A20" s="8" t="str">
        <f t="shared" si="0"/>
        <v>INDEC-CM - 43540-11</v>
      </c>
      <c r="B20" s="11">
        <v>43540</v>
      </c>
      <c r="C20" s="12" t="s">
        <v>46</v>
      </c>
      <c r="D20" s="8">
        <v>11</v>
      </c>
      <c r="E20" s="10" t="s">
        <v>61</v>
      </c>
    </row>
    <row r="21" spans="1:7" x14ac:dyDescent="0.25">
      <c r="A21" s="8" t="str">
        <f t="shared" si="0"/>
        <v>INDEC-CM - 43540-12</v>
      </c>
      <c r="B21" s="11">
        <v>43540</v>
      </c>
      <c r="C21" s="12" t="s">
        <v>46</v>
      </c>
      <c r="D21" s="8">
        <v>12</v>
      </c>
      <c r="E21" s="10" t="s">
        <v>62</v>
      </c>
    </row>
    <row r="22" spans="1:7" x14ac:dyDescent="0.25">
      <c r="A22" s="8" t="str">
        <f t="shared" si="0"/>
        <v>INDEC-CM - 37370-21</v>
      </c>
      <c r="B22" s="11">
        <v>37370</v>
      </c>
      <c r="C22" s="12" t="s">
        <v>46</v>
      </c>
      <c r="D22" s="8">
        <v>21</v>
      </c>
      <c r="E22" s="10" t="s">
        <v>63</v>
      </c>
    </row>
    <row r="23" spans="1:7" x14ac:dyDescent="0.25">
      <c r="A23" s="8" t="str">
        <f t="shared" si="0"/>
        <v>INDEC-CM - 37370-11</v>
      </c>
      <c r="B23" s="11">
        <v>37370</v>
      </c>
      <c r="C23" s="12" t="s">
        <v>46</v>
      </c>
      <c r="D23" s="8">
        <v>11</v>
      </c>
      <c r="E23" s="10" t="s">
        <v>64</v>
      </c>
    </row>
    <row r="24" spans="1:7" x14ac:dyDescent="0.25">
      <c r="A24" s="8" t="str">
        <f t="shared" si="0"/>
        <v>INDEC-CM - 37370-12</v>
      </c>
      <c r="B24" s="11">
        <v>37370</v>
      </c>
      <c r="C24" s="12" t="s">
        <v>46</v>
      </c>
      <c r="D24" s="8">
        <v>12</v>
      </c>
      <c r="E24" s="10" t="s">
        <v>65</v>
      </c>
    </row>
    <row r="25" spans="1:7" x14ac:dyDescent="0.25">
      <c r="A25" s="8" t="str">
        <f t="shared" si="0"/>
        <v>INDEC-CM - 37690-11</v>
      </c>
      <c r="B25" s="11">
        <v>37690</v>
      </c>
      <c r="C25" s="12" t="s">
        <v>46</v>
      </c>
      <c r="D25" s="8">
        <v>11</v>
      </c>
      <c r="E25" s="10" t="s">
        <v>66</v>
      </c>
    </row>
    <row r="26" spans="1:7" x14ac:dyDescent="0.25">
      <c r="A26" s="8" t="str">
        <f t="shared" si="0"/>
        <v>INDEC-CM - 42911-11</v>
      </c>
      <c r="B26" s="11">
        <v>42911</v>
      </c>
      <c r="C26" s="12" t="s">
        <v>46</v>
      </c>
      <c r="D26" s="8">
        <v>11</v>
      </c>
      <c r="E26" s="10" t="s">
        <v>67</v>
      </c>
    </row>
    <row r="27" spans="1:7" x14ac:dyDescent="0.25">
      <c r="A27" s="8" t="str">
        <f t="shared" si="0"/>
        <v>INDEC-CM - 37129-11</v>
      </c>
      <c r="B27" s="11">
        <v>37129</v>
      </c>
      <c r="C27" s="12" t="s">
        <v>46</v>
      </c>
      <c r="D27" s="8">
        <v>11</v>
      </c>
      <c r="E27" s="10" t="s">
        <v>68</v>
      </c>
    </row>
    <row r="28" spans="1:7" x14ac:dyDescent="0.25">
      <c r="A28" s="8" t="str">
        <f t="shared" si="0"/>
        <v>INDEC-CM - 35110-41</v>
      </c>
      <c r="B28" s="11">
        <v>35110</v>
      </c>
      <c r="C28" s="12" t="s">
        <v>46</v>
      </c>
      <c r="D28" s="8">
        <v>41</v>
      </c>
      <c r="E28" s="10" t="s">
        <v>69</v>
      </c>
    </row>
    <row r="29" spans="1:7" x14ac:dyDescent="0.25">
      <c r="A29" s="8" t="str">
        <f t="shared" si="0"/>
        <v>INDEC-CM - 37210-23</v>
      </c>
      <c r="B29" s="11">
        <v>37210</v>
      </c>
      <c r="C29" s="12" t="s">
        <v>46</v>
      </c>
      <c r="D29" s="8">
        <v>23</v>
      </c>
      <c r="E29" s="10" t="s">
        <v>70</v>
      </c>
    </row>
    <row r="30" spans="1:7" x14ac:dyDescent="0.25">
      <c r="A30" s="8" t="str">
        <f t="shared" si="0"/>
        <v>INDEC-CM - 37210-22</v>
      </c>
      <c r="B30" s="11">
        <v>37210</v>
      </c>
      <c r="C30" s="12" t="s">
        <v>46</v>
      </c>
      <c r="D30" s="8">
        <v>22</v>
      </c>
      <c r="E30" s="10" t="s">
        <v>71</v>
      </c>
    </row>
    <row r="31" spans="1:7" x14ac:dyDescent="0.25">
      <c r="A31" s="8" t="str">
        <f t="shared" si="0"/>
        <v>INDEC-CM - 37210-21</v>
      </c>
      <c r="B31" s="11">
        <v>37210</v>
      </c>
      <c r="C31" s="12" t="s">
        <v>46</v>
      </c>
      <c r="D31" s="8">
        <v>21</v>
      </c>
      <c r="E31" s="10" t="s">
        <v>72</v>
      </c>
    </row>
    <row r="32" spans="1:7" x14ac:dyDescent="0.25">
      <c r="A32" s="8" t="str">
        <f t="shared" si="0"/>
        <v>INDEC-CM - 41543-21</v>
      </c>
      <c r="B32" s="11">
        <v>41543</v>
      </c>
      <c r="C32" s="12" t="s">
        <v>46</v>
      </c>
      <c r="D32" s="8">
        <v>21</v>
      </c>
      <c r="E32" s="10" t="s">
        <v>73</v>
      </c>
    </row>
    <row r="33" spans="1:5" x14ac:dyDescent="0.25">
      <c r="A33" s="8" t="str">
        <f t="shared" si="0"/>
        <v>INDEC-CM - 46340-31</v>
      </c>
      <c r="B33" s="11">
        <v>46340</v>
      </c>
      <c r="C33" s="12" t="s">
        <v>46</v>
      </c>
      <c r="D33" s="8">
        <v>31</v>
      </c>
      <c r="E33" s="10" t="s">
        <v>74</v>
      </c>
    </row>
    <row r="34" spans="1:5" x14ac:dyDescent="0.25">
      <c r="A34" s="8" t="str">
        <f t="shared" si="0"/>
        <v>INDEC-CM - 46320-11</v>
      </c>
      <c r="B34" s="11">
        <v>46320</v>
      </c>
      <c r="C34" s="12" t="s">
        <v>46</v>
      </c>
      <c r="D34" s="8">
        <v>11</v>
      </c>
      <c r="E34" s="10" t="s">
        <v>75</v>
      </c>
    </row>
    <row r="35" spans="1:5" x14ac:dyDescent="0.25">
      <c r="A35" s="8" t="str">
        <f t="shared" si="0"/>
        <v>INDEC-CM - 46340-11</v>
      </c>
      <c r="B35" s="11">
        <v>46340</v>
      </c>
      <c r="C35" s="12" t="s">
        <v>46</v>
      </c>
      <c r="D35" s="8">
        <v>11</v>
      </c>
      <c r="E35" s="10" t="s">
        <v>76</v>
      </c>
    </row>
    <row r="36" spans="1:5" x14ac:dyDescent="0.25">
      <c r="A36" s="8" t="str">
        <f t="shared" si="0"/>
        <v>INDEC-CM - 46340-12</v>
      </c>
      <c r="B36" s="11">
        <v>46340</v>
      </c>
      <c r="C36" s="12" t="s">
        <v>46</v>
      </c>
      <c r="D36" s="8">
        <v>12</v>
      </c>
      <c r="E36" s="10" t="s">
        <v>77</v>
      </c>
    </row>
    <row r="37" spans="1:5" x14ac:dyDescent="0.25">
      <c r="A37" s="8" t="str">
        <f t="shared" si="0"/>
        <v>INDEC-CM - 46340-21</v>
      </c>
      <c r="B37" s="11">
        <v>46340</v>
      </c>
      <c r="C37" s="12" t="s">
        <v>46</v>
      </c>
      <c r="D37" s="8">
        <v>21</v>
      </c>
      <c r="E37" s="10" t="s">
        <v>78</v>
      </c>
    </row>
    <row r="38" spans="1:5" x14ac:dyDescent="0.25">
      <c r="A38" s="8" t="str">
        <f t="shared" si="0"/>
        <v>INDEC-CM - 46212-21</v>
      </c>
      <c r="B38" s="11">
        <v>46212</v>
      </c>
      <c r="C38" s="12" t="s">
        <v>46</v>
      </c>
      <c r="D38" s="8">
        <v>21</v>
      </c>
      <c r="E38" s="10" t="s">
        <v>79</v>
      </c>
    </row>
    <row r="39" spans="1:5" x14ac:dyDescent="0.25">
      <c r="A39" s="8" t="str">
        <f t="shared" si="0"/>
        <v>INDEC-CM - 42999-23</v>
      </c>
      <c r="B39" s="11">
        <v>42999</v>
      </c>
      <c r="C39" s="12" t="s">
        <v>46</v>
      </c>
      <c r="D39" s="8">
        <v>23</v>
      </c>
      <c r="E39" s="10" t="s">
        <v>80</v>
      </c>
    </row>
    <row r="40" spans="1:5" x14ac:dyDescent="0.25">
      <c r="A40" s="8" t="str">
        <f t="shared" si="0"/>
        <v>INDEC-CM - 42999-21</v>
      </c>
      <c r="B40" s="11">
        <v>42999</v>
      </c>
      <c r="C40" s="12" t="s">
        <v>46</v>
      </c>
      <c r="D40" s="8">
        <v>21</v>
      </c>
      <c r="E40" s="10" t="s">
        <v>81</v>
      </c>
    </row>
    <row r="41" spans="1:5" x14ac:dyDescent="0.25">
      <c r="A41" s="8" t="str">
        <f t="shared" si="0"/>
        <v>INDEC-CM - 42999-31</v>
      </c>
      <c r="B41" s="11">
        <v>42999</v>
      </c>
      <c r="C41" s="12" t="s">
        <v>46</v>
      </c>
      <c r="D41" s="8">
        <v>31</v>
      </c>
      <c r="E41" s="10" t="s">
        <v>82</v>
      </c>
    </row>
    <row r="42" spans="1:5" x14ac:dyDescent="0.25">
      <c r="A42" s="8" t="str">
        <f t="shared" si="0"/>
        <v>INDEC-CM - 42999-22</v>
      </c>
      <c r="B42" s="11">
        <v>42999</v>
      </c>
      <c r="C42" s="12" t="s">
        <v>46</v>
      </c>
      <c r="D42" s="8">
        <v>22</v>
      </c>
      <c r="E42" s="10" t="s">
        <v>83</v>
      </c>
    </row>
    <row r="43" spans="1:5" x14ac:dyDescent="0.25">
      <c r="A43" s="8" t="str">
        <f t="shared" si="0"/>
        <v>INDEC-CM - 31600-63</v>
      </c>
      <c r="B43" s="11">
        <v>31600</v>
      </c>
      <c r="C43" s="12" t="s">
        <v>46</v>
      </c>
      <c r="D43" s="8">
        <v>63</v>
      </c>
      <c r="E43" s="10" t="s">
        <v>84</v>
      </c>
    </row>
    <row r="44" spans="1:5" x14ac:dyDescent="0.25">
      <c r="A44" s="8" t="str">
        <f t="shared" si="0"/>
        <v>INDEC-CM - 31600-62</v>
      </c>
      <c r="B44" s="11">
        <v>31600</v>
      </c>
      <c r="C44" s="12" t="s">
        <v>46</v>
      </c>
      <c r="D44" s="8">
        <v>62</v>
      </c>
      <c r="E44" s="10" t="s">
        <v>85</v>
      </c>
    </row>
    <row r="45" spans="1:5" x14ac:dyDescent="0.25">
      <c r="A45" s="8" t="str">
        <f t="shared" si="0"/>
        <v>INDEC-CM - 31600-61</v>
      </c>
      <c r="B45" s="11">
        <v>31600</v>
      </c>
      <c r="C45" s="12" t="s">
        <v>46</v>
      </c>
      <c r="D45" s="8">
        <v>61</v>
      </c>
      <c r="E45" s="10" t="s">
        <v>86</v>
      </c>
    </row>
    <row r="46" spans="1:5" x14ac:dyDescent="0.25">
      <c r="A46" s="8" t="str">
        <f t="shared" si="0"/>
        <v>INDEC-CM - 37420-11</v>
      </c>
      <c r="B46" s="11">
        <v>37420</v>
      </c>
      <c r="C46" s="12" t="s">
        <v>46</v>
      </c>
      <c r="D46" s="8">
        <v>11</v>
      </c>
      <c r="E46" s="10" t="s">
        <v>87</v>
      </c>
    </row>
    <row r="47" spans="1:5" x14ac:dyDescent="0.25">
      <c r="A47" s="8" t="str">
        <f t="shared" si="0"/>
        <v>INDEC-CM - 37420-12</v>
      </c>
      <c r="B47" s="11">
        <v>37420</v>
      </c>
      <c r="C47" s="12" t="s">
        <v>46</v>
      </c>
      <c r="D47" s="8">
        <v>12</v>
      </c>
      <c r="E47" s="10" t="s">
        <v>88</v>
      </c>
    </row>
    <row r="48" spans="1:5" x14ac:dyDescent="0.25">
      <c r="A48" s="8" t="str">
        <f t="shared" si="0"/>
        <v>INDEC-CM - 44822-11</v>
      </c>
      <c r="B48" s="11">
        <v>44822</v>
      </c>
      <c r="C48" s="12" t="s">
        <v>46</v>
      </c>
      <c r="D48" s="8">
        <v>11</v>
      </c>
      <c r="E48" s="10" t="s">
        <v>89</v>
      </c>
    </row>
    <row r="49" spans="1:5" x14ac:dyDescent="0.25">
      <c r="A49" s="8" t="str">
        <f t="shared" si="0"/>
        <v>INDEC-CM - 44826-11</v>
      </c>
      <c r="B49" s="11">
        <v>44826</v>
      </c>
      <c r="C49" s="12" t="s">
        <v>46</v>
      </c>
      <c r="D49" s="8">
        <v>11</v>
      </c>
      <c r="E49" s="10" t="s">
        <v>90</v>
      </c>
    </row>
    <row r="50" spans="1:5" x14ac:dyDescent="0.25">
      <c r="A50" s="8" t="str">
        <f t="shared" si="0"/>
        <v>INDEC-CM - 44826-12</v>
      </c>
      <c r="B50" s="11">
        <v>44826</v>
      </c>
      <c r="C50" s="12" t="s">
        <v>46</v>
      </c>
      <c r="D50" s="8">
        <v>12</v>
      </c>
      <c r="E50" s="10" t="s">
        <v>91</v>
      </c>
    </row>
    <row r="51" spans="1:5" x14ac:dyDescent="0.25">
      <c r="A51" s="8" t="str">
        <f t="shared" si="0"/>
        <v>INDEC-CM - 42911-21</v>
      </c>
      <c r="B51" s="11">
        <v>42911</v>
      </c>
      <c r="C51" s="12" t="s">
        <v>46</v>
      </c>
      <c r="D51" s="8">
        <v>21</v>
      </c>
      <c r="E51" s="10" t="s">
        <v>92</v>
      </c>
    </row>
    <row r="52" spans="1:5" x14ac:dyDescent="0.25">
      <c r="A52" s="8" t="str">
        <f t="shared" si="0"/>
        <v>INDEC-CM - 41277-21</v>
      </c>
      <c r="B52" s="11">
        <v>41277</v>
      </c>
      <c r="C52" s="12" t="s">
        <v>46</v>
      </c>
      <c r="D52" s="8">
        <v>21</v>
      </c>
      <c r="E52" s="10" t="s">
        <v>93</v>
      </c>
    </row>
    <row r="53" spans="1:5" x14ac:dyDescent="0.25">
      <c r="A53" s="8" t="str">
        <f t="shared" si="0"/>
        <v>INDEC-CM - 41277-11</v>
      </c>
      <c r="B53" s="11">
        <v>41277</v>
      </c>
      <c r="C53" s="12" t="s">
        <v>46</v>
      </c>
      <c r="D53" s="8">
        <v>11</v>
      </c>
      <c r="E53" s="10" t="s">
        <v>94</v>
      </c>
    </row>
    <row r="54" spans="1:5" x14ac:dyDescent="0.25">
      <c r="A54" s="8" t="str">
        <f t="shared" si="0"/>
        <v>INDEC-CM - 41516-11</v>
      </c>
      <c r="B54" s="11">
        <v>41516</v>
      </c>
      <c r="C54" s="12" t="s">
        <v>46</v>
      </c>
      <c r="D54" s="8">
        <v>11</v>
      </c>
      <c r="E54" s="10" t="s">
        <v>95</v>
      </c>
    </row>
    <row r="55" spans="1:5" x14ac:dyDescent="0.25">
      <c r="A55" s="8" t="str">
        <f t="shared" si="0"/>
        <v>INDEC-CM - 41516-12</v>
      </c>
      <c r="B55" s="11">
        <v>41516</v>
      </c>
      <c r="C55" s="12" t="s">
        <v>46</v>
      </c>
      <c r="D55" s="8">
        <v>12</v>
      </c>
      <c r="E55" s="10" t="s">
        <v>96</v>
      </c>
    </row>
    <row r="56" spans="1:5" x14ac:dyDescent="0.25">
      <c r="A56" s="8" t="str">
        <f t="shared" si="0"/>
        <v>INDEC-CM - 41273-11</v>
      </c>
      <c r="B56" s="11">
        <v>41273</v>
      </c>
      <c r="C56" s="12" t="s">
        <v>46</v>
      </c>
      <c r="D56" s="8">
        <v>11</v>
      </c>
      <c r="E56" s="10" t="s">
        <v>97</v>
      </c>
    </row>
    <row r="57" spans="1:5" x14ac:dyDescent="0.25">
      <c r="A57" s="8" t="str">
        <f t="shared" si="0"/>
        <v>INDEC-CM - 41273-12</v>
      </c>
      <c r="B57" s="11">
        <v>41273</v>
      </c>
      <c r="C57" s="12" t="s">
        <v>46</v>
      </c>
      <c r="D57" s="8">
        <v>12</v>
      </c>
      <c r="E57" s="10" t="s">
        <v>98</v>
      </c>
    </row>
    <row r="58" spans="1:5" x14ac:dyDescent="0.25">
      <c r="A58" s="8" t="str">
        <f t="shared" si="0"/>
        <v>INDEC-CM - 41277-41</v>
      </c>
      <c r="B58" s="11">
        <v>41277</v>
      </c>
      <c r="C58" s="12" t="s">
        <v>46</v>
      </c>
      <c r="D58" s="8">
        <v>41</v>
      </c>
      <c r="E58" s="10" t="s">
        <v>99</v>
      </c>
    </row>
    <row r="59" spans="1:5" x14ac:dyDescent="0.25">
      <c r="A59" s="8" t="str">
        <f t="shared" si="0"/>
        <v>INDEC-CM - 41277-31</v>
      </c>
      <c r="B59" s="11">
        <v>41277</v>
      </c>
      <c r="C59" s="12" t="s">
        <v>46</v>
      </c>
      <c r="D59" s="8">
        <v>31</v>
      </c>
      <c r="E59" s="10" t="s">
        <v>100</v>
      </c>
    </row>
    <row r="60" spans="1:5" x14ac:dyDescent="0.25">
      <c r="A60" s="8" t="str">
        <f t="shared" si="0"/>
        <v>INDEC-CM - 41543-11</v>
      </c>
      <c r="B60" s="11">
        <v>41543</v>
      </c>
      <c r="C60" s="12" t="s">
        <v>46</v>
      </c>
      <c r="D60" s="8">
        <v>11</v>
      </c>
      <c r="E60" s="10" t="s">
        <v>101</v>
      </c>
    </row>
    <row r="61" spans="1:5" x14ac:dyDescent="0.25">
      <c r="A61" s="8" t="str">
        <f t="shared" si="0"/>
        <v>INDEC-CM - 36320-21</v>
      </c>
      <c r="B61" s="11">
        <v>36320</v>
      </c>
      <c r="C61" s="12" t="s">
        <v>46</v>
      </c>
      <c r="D61" s="8">
        <v>21</v>
      </c>
      <c r="E61" s="10" t="s">
        <v>102</v>
      </c>
    </row>
    <row r="62" spans="1:5" x14ac:dyDescent="0.25">
      <c r="A62" s="8" t="str">
        <f t="shared" si="0"/>
        <v>INDEC-CM - 36320-22</v>
      </c>
      <c r="B62" s="11">
        <v>36320</v>
      </c>
      <c r="C62" s="12" t="s">
        <v>46</v>
      </c>
      <c r="D62" s="8">
        <v>22</v>
      </c>
      <c r="E62" s="10" t="s">
        <v>103</v>
      </c>
    </row>
    <row r="63" spans="1:5" x14ac:dyDescent="0.25">
      <c r="A63" s="8" t="str">
        <f t="shared" si="0"/>
        <v>INDEC-CM - 36320-11</v>
      </c>
      <c r="B63" s="11">
        <v>36320</v>
      </c>
      <c r="C63" s="12" t="s">
        <v>46</v>
      </c>
      <c r="D63" s="8">
        <v>11</v>
      </c>
      <c r="E63" s="10" t="s">
        <v>104</v>
      </c>
    </row>
    <row r="64" spans="1:5" x14ac:dyDescent="0.25">
      <c r="A64" s="8" t="str">
        <f t="shared" si="0"/>
        <v>INDEC-CM - 36320-12</v>
      </c>
      <c r="B64" s="11">
        <v>36320</v>
      </c>
      <c r="C64" s="12" t="s">
        <v>46</v>
      </c>
      <c r="D64" s="8">
        <v>12</v>
      </c>
      <c r="E64" s="10" t="s">
        <v>105</v>
      </c>
    </row>
    <row r="65" spans="1:7" x14ac:dyDescent="0.25">
      <c r="A65" s="8" t="str">
        <f t="shared" si="0"/>
        <v>INDEC-CM - 15320-11</v>
      </c>
      <c r="B65" s="11">
        <v>15320</v>
      </c>
      <c r="C65" s="12" t="s">
        <v>46</v>
      </c>
      <c r="D65" s="8">
        <v>11</v>
      </c>
      <c r="E65" s="10" t="s">
        <v>106</v>
      </c>
    </row>
    <row r="66" spans="1:7" x14ac:dyDescent="0.25">
      <c r="A66" s="8" t="str">
        <f t="shared" si="0"/>
        <v>INDEC-CM - 37350-61</v>
      </c>
      <c r="B66" s="11">
        <v>37350</v>
      </c>
      <c r="C66" s="12" t="s">
        <v>46</v>
      </c>
      <c r="D66" s="8">
        <v>61</v>
      </c>
      <c r="E66" s="13" t="s">
        <v>107</v>
      </c>
      <c r="F66" s="13"/>
      <c r="G66" s="13"/>
    </row>
    <row r="67" spans="1:7" x14ac:dyDescent="0.25">
      <c r="A67" s="8" t="str">
        <f t="shared" si="0"/>
        <v>INDEC-CM - 37440-31</v>
      </c>
      <c r="B67" s="11">
        <v>37440</v>
      </c>
      <c r="C67" s="12" t="s">
        <v>46</v>
      </c>
      <c r="D67" s="8">
        <v>31</v>
      </c>
      <c r="E67" s="10" t="s">
        <v>108</v>
      </c>
    </row>
    <row r="68" spans="1:7" x14ac:dyDescent="0.25">
      <c r="A68" s="8" t="str">
        <f t="shared" si="0"/>
        <v>INDEC-CM - 37440-11</v>
      </c>
      <c r="B68" s="11">
        <v>37440</v>
      </c>
      <c r="C68" s="12" t="s">
        <v>46</v>
      </c>
      <c r="D68" s="8">
        <v>11</v>
      </c>
      <c r="E68" s="10" t="s">
        <v>109</v>
      </c>
    </row>
    <row r="69" spans="1:7" x14ac:dyDescent="0.25">
      <c r="A69" s="8" t="str">
        <f t="shared" si="0"/>
        <v>INDEC-CM - 44821-21</v>
      </c>
      <c r="B69" s="11">
        <v>44821</v>
      </c>
      <c r="C69" s="12" t="s">
        <v>46</v>
      </c>
      <c r="D69" s="8">
        <v>21</v>
      </c>
      <c r="E69" s="10" t="s">
        <v>110</v>
      </c>
    </row>
    <row r="70" spans="1:7" x14ac:dyDescent="0.25">
      <c r="A70" s="8" t="str">
        <f t="shared" ref="A70:A133" si="1">CONCATENATE("INDEC-CM - ",B70,C70,D70)</f>
        <v>INDEC-CM - 36320-31</v>
      </c>
      <c r="B70" s="11">
        <v>36320</v>
      </c>
      <c r="C70" s="12" t="s">
        <v>46</v>
      </c>
      <c r="D70" s="8">
        <v>31</v>
      </c>
      <c r="E70" s="10" t="s">
        <v>111</v>
      </c>
    </row>
    <row r="71" spans="1:7" x14ac:dyDescent="0.25">
      <c r="A71" s="8" t="str">
        <f t="shared" si="1"/>
        <v>INDEC-CM - 41278-12</v>
      </c>
      <c r="B71" s="11">
        <v>41278</v>
      </c>
      <c r="C71" s="12" t="s">
        <v>46</v>
      </c>
      <c r="D71" s="8">
        <v>12</v>
      </c>
      <c r="E71" s="13" t="s">
        <v>112</v>
      </c>
      <c r="F71" s="13"/>
      <c r="G71" s="13"/>
    </row>
    <row r="72" spans="1:7" x14ac:dyDescent="0.25">
      <c r="A72" s="8" t="str">
        <f t="shared" si="1"/>
        <v>INDEC-CM - 41278-11</v>
      </c>
      <c r="B72" s="11">
        <v>41278</v>
      </c>
      <c r="C72" s="12" t="s">
        <v>46</v>
      </c>
      <c r="D72" s="8">
        <v>11</v>
      </c>
      <c r="E72" s="13" t="s">
        <v>113</v>
      </c>
      <c r="F72" s="13"/>
      <c r="G72" s="13"/>
    </row>
    <row r="73" spans="1:7" x14ac:dyDescent="0.25">
      <c r="A73" s="8" t="str">
        <f t="shared" si="1"/>
        <v>INDEC-CM - 36320-41</v>
      </c>
      <c r="B73" s="11">
        <v>36320</v>
      </c>
      <c r="C73" s="12" t="s">
        <v>46</v>
      </c>
      <c r="D73" s="8">
        <v>41</v>
      </c>
      <c r="E73" s="10" t="s">
        <v>114</v>
      </c>
    </row>
    <row r="74" spans="1:7" x14ac:dyDescent="0.25">
      <c r="A74" s="8" t="str">
        <f t="shared" si="1"/>
        <v>INDEC-CM - 41516-21</v>
      </c>
      <c r="B74" s="11">
        <v>41516</v>
      </c>
      <c r="C74" s="12" t="s">
        <v>46</v>
      </c>
      <c r="D74" s="8">
        <v>21</v>
      </c>
      <c r="E74" s="10" t="s">
        <v>115</v>
      </c>
    </row>
    <row r="75" spans="1:7" x14ac:dyDescent="0.25">
      <c r="A75" s="8" t="str">
        <f t="shared" si="1"/>
        <v>INDEC-CM - 41278-22</v>
      </c>
      <c r="B75" s="11">
        <v>41278</v>
      </c>
      <c r="C75" s="12" t="s">
        <v>46</v>
      </c>
      <c r="D75" s="8">
        <v>22</v>
      </c>
      <c r="E75" s="13" t="s">
        <v>116</v>
      </c>
      <c r="F75" s="13"/>
      <c r="G75" s="13"/>
    </row>
    <row r="76" spans="1:7" x14ac:dyDescent="0.25">
      <c r="A76" s="8" t="str">
        <f t="shared" si="1"/>
        <v>INDEC-CM - 46350-11</v>
      </c>
      <c r="B76" s="11">
        <v>46350</v>
      </c>
      <c r="C76" s="12" t="s">
        <v>46</v>
      </c>
      <c r="D76" s="8">
        <v>11</v>
      </c>
      <c r="E76" s="10" t="s">
        <v>117</v>
      </c>
    </row>
    <row r="77" spans="1:7" x14ac:dyDescent="0.25">
      <c r="A77" s="8" t="str">
        <f t="shared" si="1"/>
        <v>INDEC-CM - 41278-41</v>
      </c>
      <c r="B77" s="11">
        <v>41278</v>
      </c>
      <c r="C77" s="12" t="s">
        <v>46</v>
      </c>
      <c r="D77" s="8">
        <v>41</v>
      </c>
      <c r="E77" s="13" t="s">
        <v>118</v>
      </c>
      <c r="F77" s="13"/>
      <c r="G77" s="13"/>
    </row>
    <row r="78" spans="1:7" x14ac:dyDescent="0.25">
      <c r="A78" s="8" t="str">
        <f t="shared" si="1"/>
        <v>INDEC-CM - 42999-11</v>
      </c>
      <c r="B78" s="11">
        <v>42999</v>
      </c>
      <c r="C78" s="12" t="s">
        <v>46</v>
      </c>
      <c r="D78" s="8">
        <v>11</v>
      </c>
      <c r="E78" s="10" t="s">
        <v>119</v>
      </c>
    </row>
    <row r="79" spans="1:7" x14ac:dyDescent="0.25">
      <c r="A79" s="8" t="str">
        <f t="shared" si="1"/>
        <v>INDEC-CM - 36320-51</v>
      </c>
      <c r="B79" s="11">
        <v>36320</v>
      </c>
      <c r="C79" s="12" t="s">
        <v>46</v>
      </c>
      <c r="D79" s="8">
        <v>51</v>
      </c>
      <c r="E79" s="10" t="s">
        <v>120</v>
      </c>
    </row>
    <row r="80" spans="1:7" x14ac:dyDescent="0.25">
      <c r="A80" s="8" t="str">
        <f t="shared" si="1"/>
        <v>INDEC-CM - 31600-12</v>
      </c>
      <c r="B80" s="11">
        <v>31600</v>
      </c>
      <c r="C80" s="12" t="s">
        <v>46</v>
      </c>
      <c r="D80" s="8">
        <v>12</v>
      </c>
      <c r="E80" s="10" t="s">
        <v>121</v>
      </c>
    </row>
    <row r="81" spans="1:7" x14ac:dyDescent="0.25">
      <c r="A81" s="8" t="str">
        <f t="shared" si="1"/>
        <v>INDEC-CM - 36950-11</v>
      </c>
      <c r="B81" s="11">
        <v>36950</v>
      </c>
      <c r="C81" s="12" t="s">
        <v>46</v>
      </c>
      <c r="D81" s="8">
        <v>11</v>
      </c>
      <c r="E81" s="10" t="s">
        <v>122</v>
      </c>
    </row>
    <row r="82" spans="1:7" x14ac:dyDescent="0.25">
      <c r="A82" s="8" t="str">
        <f t="shared" si="1"/>
        <v>INDEC-CM - 31600-11</v>
      </c>
      <c r="B82" s="11">
        <v>31600</v>
      </c>
      <c r="C82" s="12" t="s">
        <v>46</v>
      </c>
      <c r="D82" s="8">
        <v>11</v>
      </c>
      <c r="E82" s="10" t="s">
        <v>123</v>
      </c>
    </row>
    <row r="83" spans="1:7" x14ac:dyDescent="0.25">
      <c r="A83" s="8" t="str">
        <f t="shared" si="1"/>
        <v>INDEC-CM - 37112-11</v>
      </c>
      <c r="B83" s="11">
        <v>37112</v>
      </c>
      <c r="C83" s="12" t="s">
        <v>46</v>
      </c>
      <c r="D83" s="8">
        <v>11</v>
      </c>
      <c r="E83" s="10" t="s">
        <v>124</v>
      </c>
    </row>
    <row r="84" spans="1:7" x14ac:dyDescent="0.25">
      <c r="A84" s="8" t="str">
        <f t="shared" si="1"/>
        <v>INDEC-CM - 41278-31</v>
      </c>
      <c r="B84" s="11">
        <v>41278</v>
      </c>
      <c r="C84" s="12" t="s">
        <v>46</v>
      </c>
      <c r="D84" s="8">
        <v>31</v>
      </c>
      <c r="E84" s="13" t="s">
        <v>125</v>
      </c>
      <c r="F84" s="13"/>
      <c r="G84" s="13"/>
    </row>
    <row r="85" spans="1:7" x14ac:dyDescent="0.25">
      <c r="A85" s="8" t="str">
        <f t="shared" si="1"/>
        <v>INDEC-CM - 41278-13</v>
      </c>
      <c r="B85" s="11">
        <v>41278</v>
      </c>
      <c r="C85" s="12" t="s">
        <v>46</v>
      </c>
      <c r="D85" s="8">
        <v>13</v>
      </c>
      <c r="E85" s="13" t="s">
        <v>126</v>
      </c>
      <c r="F85" s="13"/>
      <c r="G85" s="13"/>
    </row>
    <row r="86" spans="1:7" x14ac:dyDescent="0.25">
      <c r="A86" s="8" t="str">
        <f t="shared" si="1"/>
        <v>INDEC-CM - 37570-11</v>
      </c>
      <c r="B86" s="11">
        <v>37570</v>
      </c>
      <c r="C86" s="12" t="s">
        <v>46</v>
      </c>
      <c r="D86" s="8">
        <v>11</v>
      </c>
      <c r="E86" s="13" t="s">
        <v>127</v>
      </c>
      <c r="F86" s="13"/>
      <c r="G86" s="13"/>
    </row>
    <row r="87" spans="1:7" x14ac:dyDescent="0.25">
      <c r="A87" s="8" t="str">
        <f t="shared" si="1"/>
        <v>INDEC-CM - 43220-11</v>
      </c>
      <c r="B87" s="11">
        <v>43220</v>
      </c>
      <c r="C87" s="12" t="s">
        <v>46</v>
      </c>
      <c r="D87" s="8">
        <v>11</v>
      </c>
      <c r="E87" s="10" t="s">
        <v>128</v>
      </c>
    </row>
    <row r="88" spans="1:7" x14ac:dyDescent="0.25">
      <c r="A88" s="8" t="str">
        <f t="shared" si="1"/>
        <v>INDEC-CM - 43220-12</v>
      </c>
      <c r="B88" s="11">
        <v>43220</v>
      </c>
      <c r="C88" s="12" t="s">
        <v>46</v>
      </c>
      <c r="D88" s="8">
        <v>12</v>
      </c>
      <c r="E88" s="10" t="s">
        <v>129</v>
      </c>
    </row>
    <row r="89" spans="1:7" x14ac:dyDescent="0.25">
      <c r="A89" s="8" t="str">
        <f t="shared" si="1"/>
        <v>INDEC-CM - 43220-21</v>
      </c>
      <c r="B89" s="11">
        <v>43220</v>
      </c>
      <c r="C89" s="12" t="s">
        <v>46</v>
      </c>
      <c r="D89" s="8">
        <v>21</v>
      </c>
      <c r="E89" s="10" t="s">
        <v>130</v>
      </c>
    </row>
    <row r="90" spans="1:7" x14ac:dyDescent="0.25">
      <c r="A90" s="8" t="str">
        <f t="shared" si="1"/>
        <v>INDEC-CM - 43220-22</v>
      </c>
      <c r="B90" s="11">
        <v>43220</v>
      </c>
      <c r="C90" s="12" t="s">
        <v>46</v>
      </c>
      <c r="D90" s="8">
        <v>22</v>
      </c>
      <c r="E90" s="10" t="s">
        <v>131</v>
      </c>
    </row>
    <row r="91" spans="1:7" x14ac:dyDescent="0.25">
      <c r="A91" s="8" t="str">
        <f t="shared" si="1"/>
        <v>INDEC-CM - 43220-23</v>
      </c>
      <c r="B91" s="11">
        <v>43220</v>
      </c>
      <c r="C91" s="12" t="s">
        <v>46</v>
      </c>
      <c r="D91" s="8">
        <v>23</v>
      </c>
      <c r="E91" s="10" t="s">
        <v>132</v>
      </c>
    </row>
    <row r="92" spans="1:7" x14ac:dyDescent="0.25">
      <c r="A92" s="8" t="str">
        <f t="shared" si="1"/>
        <v>INDEC-CM - 43220-31</v>
      </c>
      <c r="B92" s="11">
        <v>43220</v>
      </c>
      <c r="C92" s="12" t="s">
        <v>46</v>
      </c>
      <c r="D92" s="8">
        <v>31</v>
      </c>
      <c r="E92" s="10" t="s">
        <v>133</v>
      </c>
    </row>
    <row r="93" spans="1:7" x14ac:dyDescent="0.25">
      <c r="A93" s="8" t="str">
        <f t="shared" si="1"/>
        <v>INDEC-CM - 43220-32</v>
      </c>
      <c r="B93" s="11">
        <v>43220</v>
      </c>
      <c r="C93" s="12" t="s">
        <v>46</v>
      </c>
      <c r="D93" s="8">
        <v>32</v>
      </c>
      <c r="E93" s="10" t="s">
        <v>134</v>
      </c>
    </row>
    <row r="94" spans="1:7" x14ac:dyDescent="0.25">
      <c r="A94" s="8" t="str">
        <f t="shared" si="1"/>
        <v>INDEC-CM - 41278-32</v>
      </c>
      <c r="B94" s="11">
        <v>41278</v>
      </c>
      <c r="C94" s="12" t="s">
        <v>46</v>
      </c>
      <c r="D94" s="8">
        <v>32</v>
      </c>
      <c r="E94" s="13" t="s">
        <v>135</v>
      </c>
      <c r="F94" s="13"/>
      <c r="G94" s="13"/>
    </row>
    <row r="95" spans="1:7" x14ac:dyDescent="0.25">
      <c r="A95" s="8" t="str">
        <f t="shared" si="1"/>
        <v>INDEC-CM - 36320-32</v>
      </c>
      <c r="B95" s="11">
        <v>36320</v>
      </c>
      <c r="C95" s="12" t="s">
        <v>46</v>
      </c>
      <c r="D95" s="8">
        <v>32</v>
      </c>
      <c r="E95" s="10" t="s">
        <v>136</v>
      </c>
    </row>
    <row r="96" spans="1:7" x14ac:dyDescent="0.25">
      <c r="A96" s="8" t="str">
        <f t="shared" si="1"/>
        <v>INDEC-CM - 41278-23</v>
      </c>
      <c r="B96" s="11">
        <v>41278</v>
      </c>
      <c r="C96" s="12" t="s">
        <v>46</v>
      </c>
      <c r="D96" s="8">
        <v>23</v>
      </c>
      <c r="E96" s="13" t="s">
        <v>137</v>
      </c>
      <c r="F96" s="13"/>
      <c r="G96" s="13"/>
    </row>
    <row r="97" spans="1:5" x14ac:dyDescent="0.25">
      <c r="A97" s="8" t="str">
        <f t="shared" si="1"/>
        <v>INDEC-CM - 35110-11</v>
      </c>
      <c r="B97" s="11">
        <v>35110</v>
      </c>
      <c r="C97" s="12" t="s">
        <v>46</v>
      </c>
      <c r="D97" s="8">
        <v>11</v>
      </c>
      <c r="E97" s="10" t="s">
        <v>138</v>
      </c>
    </row>
    <row r="98" spans="1:5" x14ac:dyDescent="0.25">
      <c r="A98" s="8" t="str">
        <f t="shared" si="1"/>
        <v>INDEC-CM - 35110-12</v>
      </c>
      <c r="B98" s="11">
        <v>35110</v>
      </c>
      <c r="C98" s="12" t="s">
        <v>46</v>
      </c>
      <c r="D98" s="8">
        <v>12</v>
      </c>
      <c r="E98" s="10" t="s">
        <v>139</v>
      </c>
    </row>
    <row r="99" spans="1:5" x14ac:dyDescent="0.25">
      <c r="A99" s="8" t="str">
        <f t="shared" si="1"/>
        <v>INDEC-CM - 35110-21</v>
      </c>
      <c r="B99" s="11">
        <v>35110</v>
      </c>
      <c r="C99" s="12" t="s">
        <v>46</v>
      </c>
      <c r="D99" s="8">
        <v>21</v>
      </c>
      <c r="E99" s="10" t="s">
        <v>140</v>
      </c>
    </row>
    <row r="100" spans="1:5" x14ac:dyDescent="0.25">
      <c r="A100" s="8" t="str">
        <f t="shared" si="1"/>
        <v>INDEC-CM - 35110-22</v>
      </c>
      <c r="B100" s="11">
        <v>35110</v>
      </c>
      <c r="C100" s="12" t="s">
        <v>46</v>
      </c>
      <c r="D100" s="8">
        <v>22</v>
      </c>
      <c r="E100" s="10" t="s">
        <v>141</v>
      </c>
    </row>
    <row r="101" spans="1:5" x14ac:dyDescent="0.25">
      <c r="A101" s="8" t="str">
        <f t="shared" si="1"/>
        <v>INDEC-CM - 41547-11</v>
      </c>
      <c r="B101" s="11">
        <v>41547</v>
      </c>
      <c r="C101" s="12" t="s">
        <v>46</v>
      </c>
      <c r="D101" s="8">
        <v>11</v>
      </c>
      <c r="E101" s="10" t="s">
        <v>142</v>
      </c>
    </row>
    <row r="102" spans="1:5" x14ac:dyDescent="0.25">
      <c r="A102" s="8" t="str">
        <f t="shared" si="1"/>
        <v>INDEC-CM - 31600-73</v>
      </c>
      <c r="B102" s="11">
        <v>31600</v>
      </c>
      <c r="C102" s="12" t="s">
        <v>46</v>
      </c>
      <c r="D102" s="8">
        <v>73</v>
      </c>
      <c r="E102" s="10" t="s">
        <v>143</v>
      </c>
    </row>
    <row r="103" spans="1:5" x14ac:dyDescent="0.25">
      <c r="A103" s="8" t="str">
        <f t="shared" si="1"/>
        <v>INDEC-CM - 31600-72</v>
      </c>
      <c r="B103" s="11">
        <v>31600</v>
      </c>
      <c r="C103" s="12" t="s">
        <v>46</v>
      </c>
      <c r="D103" s="8">
        <v>72</v>
      </c>
      <c r="E103" s="10" t="s">
        <v>144</v>
      </c>
    </row>
    <row r="104" spans="1:5" x14ac:dyDescent="0.25">
      <c r="A104" s="8" t="str">
        <f t="shared" si="1"/>
        <v>INDEC-CM - 31600-71</v>
      </c>
      <c r="B104" s="11">
        <v>31600</v>
      </c>
      <c r="C104" s="12" t="s">
        <v>46</v>
      </c>
      <c r="D104" s="8">
        <v>71</v>
      </c>
      <c r="E104" s="10" t="s">
        <v>145</v>
      </c>
    </row>
    <row r="105" spans="1:5" x14ac:dyDescent="0.25">
      <c r="A105" s="8" t="str">
        <f t="shared" si="1"/>
        <v>INDEC-CM - 35110-61</v>
      </c>
      <c r="B105" s="11">
        <v>35110</v>
      </c>
      <c r="C105" s="12" t="s">
        <v>46</v>
      </c>
      <c r="D105" s="8">
        <v>61</v>
      </c>
      <c r="E105" s="10" t="s">
        <v>146</v>
      </c>
    </row>
    <row r="106" spans="1:5" x14ac:dyDescent="0.25">
      <c r="A106" s="8" t="str">
        <f t="shared" si="1"/>
        <v>INDEC-CM - 31600-53</v>
      </c>
      <c r="B106" s="11">
        <v>31600</v>
      </c>
      <c r="C106" s="12" t="s">
        <v>46</v>
      </c>
      <c r="D106" s="8">
        <v>53</v>
      </c>
      <c r="E106" s="10" t="s">
        <v>147</v>
      </c>
    </row>
    <row r="107" spans="1:5" x14ac:dyDescent="0.25">
      <c r="A107" s="8" t="str">
        <f t="shared" si="1"/>
        <v>INDEC-CM - 31600-51</v>
      </c>
      <c r="B107" s="11">
        <v>31600</v>
      </c>
      <c r="C107" s="12" t="s">
        <v>46</v>
      </c>
      <c r="D107" s="8">
        <v>51</v>
      </c>
      <c r="E107" s="10" t="s">
        <v>148</v>
      </c>
    </row>
    <row r="108" spans="1:5" x14ac:dyDescent="0.25">
      <c r="A108" s="8" t="str">
        <f t="shared" si="1"/>
        <v>INDEC-CM - 37550-21</v>
      </c>
      <c r="B108" s="11">
        <v>37550</v>
      </c>
      <c r="C108" s="12" t="s">
        <v>46</v>
      </c>
      <c r="D108" s="8">
        <v>21</v>
      </c>
      <c r="E108" s="10" t="s">
        <v>149</v>
      </c>
    </row>
    <row r="109" spans="1:5" x14ac:dyDescent="0.25">
      <c r="A109" s="8" t="str">
        <f t="shared" si="1"/>
        <v>INDEC-CM - 42999-41</v>
      </c>
      <c r="B109" s="11">
        <v>42999</v>
      </c>
      <c r="C109" s="12" t="s">
        <v>46</v>
      </c>
      <c r="D109" s="8">
        <v>41</v>
      </c>
      <c r="E109" s="10" t="s">
        <v>150</v>
      </c>
    </row>
    <row r="110" spans="1:5" x14ac:dyDescent="0.25">
      <c r="A110" s="8" t="str">
        <f t="shared" si="1"/>
        <v>INDEC-CM - 42911-53</v>
      </c>
      <c r="B110" s="11">
        <v>42911</v>
      </c>
      <c r="C110" s="12" t="s">
        <v>46</v>
      </c>
      <c r="D110" s="8">
        <v>53</v>
      </c>
      <c r="E110" s="10" t="s">
        <v>151</v>
      </c>
    </row>
    <row r="111" spans="1:5" x14ac:dyDescent="0.25">
      <c r="A111" s="8" t="str">
        <f t="shared" si="1"/>
        <v>INDEC-CM - 42911-52</v>
      </c>
      <c r="B111" s="11">
        <v>42911</v>
      </c>
      <c r="C111" s="12" t="s">
        <v>46</v>
      </c>
      <c r="D111" s="8">
        <v>52</v>
      </c>
      <c r="E111" s="10" t="s">
        <v>152</v>
      </c>
    </row>
    <row r="112" spans="1:5" x14ac:dyDescent="0.25">
      <c r="A112" s="8" t="str">
        <f t="shared" si="1"/>
        <v>INDEC-CM - 42911-51</v>
      </c>
      <c r="B112" s="11">
        <v>42911</v>
      </c>
      <c r="C112" s="12" t="s">
        <v>46</v>
      </c>
      <c r="D112" s="8">
        <v>51</v>
      </c>
      <c r="E112" s="10" t="s">
        <v>153</v>
      </c>
    </row>
    <row r="113" spans="1:7" x14ac:dyDescent="0.25">
      <c r="A113" s="8" t="str">
        <f t="shared" si="1"/>
        <v>INDEC-CM - 42911-43</v>
      </c>
      <c r="B113" s="11">
        <v>42911</v>
      </c>
      <c r="C113" s="12" t="s">
        <v>46</v>
      </c>
      <c r="D113" s="8">
        <v>43</v>
      </c>
      <c r="E113" s="10" t="s">
        <v>154</v>
      </c>
    </row>
    <row r="114" spans="1:7" x14ac:dyDescent="0.25">
      <c r="A114" s="8" t="str">
        <f t="shared" si="1"/>
        <v>INDEC-CM - 42911-42</v>
      </c>
      <c r="B114" s="11">
        <v>42911</v>
      </c>
      <c r="C114" s="12" t="s">
        <v>46</v>
      </c>
      <c r="D114" s="8">
        <v>42</v>
      </c>
      <c r="E114" s="10" t="s">
        <v>155</v>
      </c>
    </row>
    <row r="115" spans="1:7" x14ac:dyDescent="0.25">
      <c r="A115" s="8" t="str">
        <f t="shared" si="1"/>
        <v>INDEC-CM - 42911-41</v>
      </c>
      <c r="B115" s="11">
        <v>42911</v>
      </c>
      <c r="C115" s="12" t="s">
        <v>46</v>
      </c>
      <c r="D115" s="8">
        <v>41</v>
      </c>
      <c r="E115" s="10" t="s">
        <v>156</v>
      </c>
    </row>
    <row r="116" spans="1:7" x14ac:dyDescent="0.25">
      <c r="A116" s="8" t="str">
        <f t="shared" si="1"/>
        <v>INDEC-CM - 42911-56</v>
      </c>
      <c r="B116" s="11">
        <v>42911</v>
      </c>
      <c r="C116" s="12" t="s">
        <v>46</v>
      </c>
      <c r="D116" s="8">
        <v>56</v>
      </c>
      <c r="E116" s="10" t="s">
        <v>157</v>
      </c>
    </row>
    <row r="117" spans="1:7" x14ac:dyDescent="0.25">
      <c r="A117" s="8" t="str">
        <f t="shared" si="1"/>
        <v>INDEC-CM - 42911-55</v>
      </c>
      <c r="B117" s="11">
        <v>42911</v>
      </c>
      <c r="C117" s="12" t="s">
        <v>46</v>
      </c>
      <c r="D117" s="8">
        <v>55</v>
      </c>
      <c r="E117" s="10" t="s">
        <v>158</v>
      </c>
    </row>
    <row r="118" spans="1:7" x14ac:dyDescent="0.25">
      <c r="A118" s="8" t="str">
        <f t="shared" si="1"/>
        <v>INDEC-CM - 42911-54</v>
      </c>
      <c r="B118" s="11">
        <v>42911</v>
      </c>
      <c r="C118" s="12" t="s">
        <v>46</v>
      </c>
      <c r="D118" s="8">
        <v>54</v>
      </c>
      <c r="E118" s="10" t="s">
        <v>159</v>
      </c>
    </row>
    <row r="119" spans="1:7" x14ac:dyDescent="0.25">
      <c r="A119" s="8" t="str">
        <f t="shared" si="1"/>
        <v>INDEC-CM - 42911-32</v>
      </c>
      <c r="B119" s="11">
        <v>42911</v>
      </c>
      <c r="C119" s="12" t="s">
        <v>46</v>
      </c>
      <c r="D119" s="8">
        <v>32</v>
      </c>
      <c r="E119" s="10" t="s">
        <v>160</v>
      </c>
    </row>
    <row r="120" spans="1:7" x14ac:dyDescent="0.25">
      <c r="A120" s="8" t="str">
        <f t="shared" si="1"/>
        <v>INDEC-CM - 42911-31</v>
      </c>
      <c r="B120" s="11">
        <v>42911</v>
      </c>
      <c r="C120" s="12" t="s">
        <v>46</v>
      </c>
      <c r="D120" s="8">
        <v>31</v>
      </c>
      <c r="E120" s="10" t="s">
        <v>161</v>
      </c>
    </row>
    <row r="121" spans="1:7" x14ac:dyDescent="0.25">
      <c r="A121" s="8" t="str">
        <f t="shared" si="1"/>
        <v>INDEC-CM - 42911-59</v>
      </c>
      <c r="B121" s="11">
        <v>42911</v>
      </c>
      <c r="C121" s="12" t="s">
        <v>46</v>
      </c>
      <c r="D121" s="8">
        <v>59</v>
      </c>
      <c r="E121" s="10" t="s">
        <v>162</v>
      </c>
    </row>
    <row r="122" spans="1:7" x14ac:dyDescent="0.25">
      <c r="A122" s="8" t="str">
        <f t="shared" si="1"/>
        <v>INDEC-CM - 42911-58</v>
      </c>
      <c r="B122" s="11">
        <v>42911</v>
      </c>
      <c r="C122" s="12" t="s">
        <v>46</v>
      </c>
      <c r="D122" s="8">
        <v>58</v>
      </c>
      <c r="E122" s="13" t="s">
        <v>163</v>
      </c>
      <c r="F122" s="13"/>
      <c r="G122" s="13"/>
    </row>
    <row r="123" spans="1:7" x14ac:dyDescent="0.25">
      <c r="A123" s="8" t="str">
        <f t="shared" si="1"/>
        <v>INDEC-CM - 42911-57</v>
      </c>
      <c r="B123" s="11">
        <v>42911</v>
      </c>
      <c r="C123" s="12" t="s">
        <v>46</v>
      </c>
      <c r="D123" s="8">
        <v>57</v>
      </c>
      <c r="E123" s="13" t="s">
        <v>164</v>
      </c>
      <c r="F123" s="13"/>
      <c r="G123" s="13"/>
    </row>
    <row r="124" spans="1:7" x14ac:dyDescent="0.25">
      <c r="A124" s="8" t="str">
        <f t="shared" si="1"/>
        <v>INDEC-CM - 43923-21</v>
      </c>
      <c r="B124" s="11">
        <v>43923</v>
      </c>
      <c r="C124" s="12" t="s">
        <v>46</v>
      </c>
      <c r="D124" s="8">
        <v>21</v>
      </c>
      <c r="E124" s="13" t="s">
        <v>165</v>
      </c>
      <c r="F124" s="13"/>
      <c r="G124" s="13"/>
    </row>
    <row r="125" spans="1:7" x14ac:dyDescent="0.25">
      <c r="A125" s="8" t="str">
        <f t="shared" si="1"/>
        <v>INDEC-CM - 37510-11</v>
      </c>
      <c r="B125" s="11">
        <v>37510</v>
      </c>
      <c r="C125" s="12" t="s">
        <v>46</v>
      </c>
      <c r="D125" s="8">
        <v>11</v>
      </c>
      <c r="E125" s="10" t="s">
        <v>166</v>
      </c>
    </row>
    <row r="126" spans="1:7" x14ac:dyDescent="0.25">
      <c r="A126" s="8" t="str">
        <f t="shared" si="1"/>
        <v>INDEC-CM - 44821-31</v>
      </c>
      <c r="B126" s="11">
        <v>44821</v>
      </c>
      <c r="C126" s="12" t="s">
        <v>46</v>
      </c>
      <c r="D126" s="8">
        <v>31</v>
      </c>
      <c r="E126" s="10" t="s">
        <v>167</v>
      </c>
    </row>
    <row r="127" spans="1:7" x14ac:dyDescent="0.25">
      <c r="A127" s="8" t="str">
        <f t="shared" si="1"/>
        <v>INDEC-CM - 46531-12</v>
      </c>
      <c r="B127" s="11">
        <v>46531</v>
      </c>
      <c r="C127" s="12" t="s">
        <v>46</v>
      </c>
      <c r="D127" s="8">
        <v>12</v>
      </c>
      <c r="E127" s="13" t="s">
        <v>168</v>
      </c>
      <c r="F127" s="13"/>
      <c r="G127" s="13"/>
    </row>
    <row r="128" spans="1:7" x14ac:dyDescent="0.25">
      <c r="A128" s="8" t="str">
        <f t="shared" si="1"/>
        <v>INDEC-CM - 37210-13</v>
      </c>
      <c r="B128" s="11">
        <v>37210</v>
      </c>
      <c r="C128" s="12" t="s">
        <v>46</v>
      </c>
      <c r="D128" s="8">
        <v>13</v>
      </c>
      <c r="E128" s="10" t="s">
        <v>169</v>
      </c>
    </row>
    <row r="129" spans="1:7" x14ac:dyDescent="0.25">
      <c r="A129" s="8" t="str">
        <f t="shared" si="1"/>
        <v>INDEC-CM - 37210-12</v>
      </c>
      <c r="B129" s="11">
        <v>37210</v>
      </c>
      <c r="C129" s="12" t="s">
        <v>46</v>
      </c>
      <c r="D129" s="8">
        <v>12</v>
      </c>
      <c r="E129" s="10" t="s">
        <v>170</v>
      </c>
    </row>
    <row r="130" spans="1:7" x14ac:dyDescent="0.25">
      <c r="A130" s="8" t="str">
        <f t="shared" si="1"/>
        <v>INDEC-CM - 37210-11</v>
      </c>
      <c r="B130" s="11">
        <v>37210</v>
      </c>
      <c r="C130" s="12" t="s">
        <v>46</v>
      </c>
      <c r="D130" s="8">
        <v>11</v>
      </c>
      <c r="E130" s="13" t="s">
        <v>171</v>
      </c>
      <c r="F130" s="13"/>
      <c r="G130" s="13"/>
    </row>
    <row r="131" spans="1:7" x14ac:dyDescent="0.25">
      <c r="A131" s="8" t="str">
        <f t="shared" si="1"/>
        <v>INDEC-CM - 46212-11</v>
      </c>
      <c r="B131" s="11">
        <v>46212</v>
      </c>
      <c r="C131" s="12" t="s">
        <v>46</v>
      </c>
      <c r="D131" s="8">
        <v>11</v>
      </c>
      <c r="E131" s="10" t="s">
        <v>172</v>
      </c>
    </row>
    <row r="132" spans="1:7" x14ac:dyDescent="0.25">
      <c r="A132" s="8" t="str">
        <f t="shared" si="1"/>
        <v>INDEC-CM - 46212-51</v>
      </c>
      <c r="B132" s="11">
        <v>46212</v>
      </c>
      <c r="C132" s="12" t="s">
        <v>46</v>
      </c>
      <c r="D132" s="8">
        <v>51</v>
      </c>
      <c r="E132" s="10" t="s">
        <v>173</v>
      </c>
    </row>
    <row r="133" spans="1:7" x14ac:dyDescent="0.25">
      <c r="A133" s="8" t="str">
        <f t="shared" si="1"/>
        <v>INDEC-CM - 46212-31</v>
      </c>
      <c r="B133" s="11">
        <v>46212</v>
      </c>
      <c r="C133" s="12" t="s">
        <v>46</v>
      </c>
      <c r="D133" s="8">
        <v>31</v>
      </c>
      <c r="E133" s="10" t="s">
        <v>174</v>
      </c>
    </row>
    <row r="134" spans="1:7" x14ac:dyDescent="0.25">
      <c r="A134" s="8" t="str">
        <f t="shared" ref="A134:A197" si="2">CONCATENATE("INDEC-CM - ",B134,C134,D134)</f>
        <v>INDEC-CM - 46212-41</v>
      </c>
      <c r="B134" s="11">
        <v>46212</v>
      </c>
      <c r="C134" s="12" t="s">
        <v>46</v>
      </c>
      <c r="D134" s="8">
        <v>41</v>
      </c>
      <c r="E134" s="10" t="s">
        <v>175</v>
      </c>
    </row>
    <row r="135" spans="1:7" x14ac:dyDescent="0.25">
      <c r="A135" s="8" t="str">
        <f t="shared" si="2"/>
        <v>INDEC-CM - 42999-51</v>
      </c>
      <c r="B135" s="11">
        <v>42999</v>
      </c>
      <c r="C135" s="12" t="s">
        <v>46</v>
      </c>
      <c r="D135" s="8">
        <v>51</v>
      </c>
      <c r="E135" s="10" t="s">
        <v>176</v>
      </c>
    </row>
    <row r="136" spans="1:7" x14ac:dyDescent="0.25">
      <c r="A136" s="8" t="str">
        <f t="shared" si="2"/>
        <v>INDEC-CM - 35110-51</v>
      </c>
      <c r="B136" s="11">
        <v>35110</v>
      </c>
      <c r="C136" s="12" t="s">
        <v>46</v>
      </c>
      <c r="D136" s="8">
        <v>51</v>
      </c>
      <c r="E136" s="10" t="s">
        <v>177</v>
      </c>
    </row>
    <row r="137" spans="1:7" x14ac:dyDescent="0.25">
      <c r="A137" s="8" t="str">
        <f t="shared" si="2"/>
        <v>INDEC-CM - 37350-11</v>
      </c>
      <c r="B137" s="11">
        <v>37350</v>
      </c>
      <c r="C137" s="12" t="s">
        <v>46</v>
      </c>
      <c r="D137" s="8">
        <v>11</v>
      </c>
      <c r="E137" s="10" t="s">
        <v>178</v>
      </c>
    </row>
    <row r="138" spans="1:7" x14ac:dyDescent="0.25">
      <c r="A138" s="8" t="str">
        <f t="shared" si="2"/>
        <v>INDEC-CM - 37350-41</v>
      </c>
      <c r="B138" s="11">
        <v>37350</v>
      </c>
      <c r="C138" s="12" t="s">
        <v>46</v>
      </c>
      <c r="D138" s="8">
        <v>41</v>
      </c>
      <c r="E138" s="10" t="s">
        <v>179</v>
      </c>
    </row>
    <row r="139" spans="1:7" x14ac:dyDescent="0.25">
      <c r="A139" s="8" t="str">
        <f t="shared" si="2"/>
        <v>INDEC-CM - 37350-21</v>
      </c>
      <c r="B139" s="11">
        <v>37350</v>
      </c>
      <c r="C139" s="12" t="s">
        <v>46</v>
      </c>
      <c r="D139" s="8">
        <v>21</v>
      </c>
      <c r="E139" s="10" t="s">
        <v>180</v>
      </c>
    </row>
    <row r="140" spans="1:7" x14ac:dyDescent="0.25">
      <c r="A140" s="8" t="str">
        <f t="shared" si="2"/>
        <v>INDEC-CM - 37350-31</v>
      </c>
      <c r="B140" s="11">
        <v>37350</v>
      </c>
      <c r="C140" s="12" t="s">
        <v>46</v>
      </c>
      <c r="D140" s="8">
        <v>31</v>
      </c>
      <c r="E140" s="10" t="s">
        <v>181</v>
      </c>
    </row>
    <row r="141" spans="1:7" x14ac:dyDescent="0.25">
      <c r="A141" s="8" t="str">
        <f t="shared" si="2"/>
        <v>INDEC-CM - 37210-32</v>
      </c>
      <c r="B141" s="11">
        <v>37210</v>
      </c>
      <c r="C141" s="12" t="s">
        <v>46</v>
      </c>
      <c r="D141" s="8">
        <v>32</v>
      </c>
      <c r="E141" s="10" t="s">
        <v>182</v>
      </c>
    </row>
    <row r="142" spans="1:7" x14ac:dyDescent="0.25">
      <c r="A142" s="8" t="str">
        <f t="shared" si="2"/>
        <v>INDEC-CM - 37210-31</v>
      </c>
      <c r="B142" s="11">
        <v>37210</v>
      </c>
      <c r="C142" s="12" t="s">
        <v>46</v>
      </c>
      <c r="D142" s="8">
        <v>31</v>
      </c>
      <c r="E142" s="10" t="s">
        <v>183</v>
      </c>
    </row>
    <row r="143" spans="1:7" x14ac:dyDescent="0.25">
      <c r="A143" s="8" t="str">
        <f t="shared" si="2"/>
        <v>INDEC-CM - 37210-33</v>
      </c>
      <c r="B143" s="11">
        <v>37210</v>
      </c>
      <c r="C143" s="12" t="s">
        <v>46</v>
      </c>
      <c r="D143" s="8">
        <v>33</v>
      </c>
      <c r="E143" s="10" t="s">
        <v>184</v>
      </c>
    </row>
    <row r="144" spans="1:7" x14ac:dyDescent="0.25">
      <c r="A144" s="8" t="str">
        <f t="shared" si="2"/>
        <v>INDEC-CM - 31210-41</v>
      </c>
      <c r="B144" s="11">
        <v>31210</v>
      </c>
      <c r="C144" s="12" t="s">
        <v>46</v>
      </c>
      <c r="D144" s="8">
        <v>41</v>
      </c>
      <c r="E144" s="10" t="s">
        <v>185</v>
      </c>
    </row>
    <row r="145" spans="1:7" x14ac:dyDescent="0.25">
      <c r="A145" s="8" t="str">
        <f t="shared" si="2"/>
        <v>INDEC-CM - 43240-21</v>
      </c>
      <c r="B145" s="11">
        <v>43240</v>
      </c>
      <c r="C145" s="12" t="s">
        <v>46</v>
      </c>
      <c r="D145" s="8">
        <v>21</v>
      </c>
      <c r="E145" s="10" t="s">
        <v>186</v>
      </c>
    </row>
    <row r="146" spans="1:7" x14ac:dyDescent="0.25">
      <c r="A146" s="8" t="str">
        <f t="shared" si="2"/>
        <v>INDEC-CM - 43240-32</v>
      </c>
      <c r="B146" s="11">
        <v>43240</v>
      </c>
      <c r="C146" s="12" t="s">
        <v>46</v>
      </c>
      <c r="D146" s="8">
        <v>32</v>
      </c>
      <c r="E146" s="10" t="s">
        <v>187</v>
      </c>
    </row>
    <row r="147" spans="1:7" x14ac:dyDescent="0.25">
      <c r="A147" s="8" t="str">
        <f t="shared" si="2"/>
        <v>INDEC-CM - 43240-31</v>
      </c>
      <c r="B147" s="11">
        <v>43240</v>
      </c>
      <c r="C147" s="12" t="s">
        <v>46</v>
      </c>
      <c r="D147" s="8">
        <v>31</v>
      </c>
      <c r="E147" s="10" t="s">
        <v>188</v>
      </c>
    </row>
    <row r="148" spans="1:7" x14ac:dyDescent="0.25">
      <c r="A148" s="8" t="str">
        <f t="shared" si="2"/>
        <v>INDEC-CM - 43240-41</v>
      </c>
      <c r="B148" s="11">
        <v>43240</v>
      </c>
      <c r="C148" s="12" t="s">
        <v>46</v>
      </c>
      <c r="D148" s="8">
        <v>41</v>
      </c>
      <c r="E148" s="10" t="s">
        <v>189</v>
      </c>
    </row>
    <row r="149" spans="1:7" x14ac:dyDescent="0.25">
      <c r="A149" s="8" t="str">
        <f t="shared" si="2"/>
        <v>INDEC-CM - 37540-32</v>
      </c>
      <c r="B149" s="11">
        <v>37540</v>
      </c>
      <c r="C149" s="12" t="s">
        <v>46</v>
      </c>
      <c r="D149" s="8">
        <v>32</v>
      </c>
      <c r="E149" s="13" t="s">
        <v>190</v>
      </c>
      <c r="F149" s="13"/>
      <c r="G149" s="13"/>
    </row>
    <row r="150" spans="1:7" x14ac:dyDescent="0.25">
      <c r="A150" s="8" t="str">
        <f t="shared" si="2"/>
        <v>INDEC-CM - 37540-31</v>
      </c>
      <c r="B150" s="11">
        <v>37540</v>
      </c>
      <c r="C150" s="12" t="s">
        <v>46</v>
      </c>
      <c r="D150" s="8">
        <v>31</v>
      </c>
      <c r="E150" s="10" t="s">
        <v>191</v>
      </c>
    </row>
    <row r="151" spans="1:7" x14ac:dyDescent="0.25">
      <c r="A151" s="8" t="str">
        <f t="shared" si="2"/>
        <v>INDEC-CM - 31210-21</v>
      </c>
      <c r="B151" s="11">
        <v>31210</v>
      </c>
      <c r="C151" s="12" t="s">
        <v>46</v>
      </c>
      <c r="D151" s="8">
        <v>21</v>
      </c>
      <c r="E151" s="13" t="s">
        <v>192</v>
      </c>
      <c r="F151" s="13"/>
      <c r="G151" s="13"/>
    </row>
    <row r="152" spans="1:7" x14ac:dyDescent="0.25">
      <c r="A152" s="8" t="str">
        <f t="shared" si="2"/>
        <v>INDEC-CM - 42911-61</v>
      </c>
      <c r="B152" s="11">
        <v>42911</v>
      </c>
      <c r="C152" s="12" t="s">
        <v>46</v>
      </c>
      <c r="D152" s="8">
        <v>61</v>
      </c>
      <c r="E152" s="13" t="s">
        <v>193</v>
      </c>
      <c r="F152" s="13"/>
      <c r="G152" s="13"/>
    </row>
    <row r="153" spans="1:7" x14ac:dyDescent="0.25">
      <c r="A153" s="8" t="str">
        <f t="shared" si="2"/>
        <v>INDEC-CM - 43923-11</v>
      </c>
      <c r="B153" s="11">
        <v>43923</v>
      </c>
      <c r="C153" s="12" t="s">
        <v>46</v>
      </c>
      <c r="D153" s="8">
        <v>11</v>
      </c>
      <c r="E153" s="13" t="s">
        <v>194</v>
      </c>
      <c r="F153" s="13"/>
      <c r="G153" s="13"/>
    </row>
    <row r="154" spans="1:7" x14ac:dyDescent="0.25">
      <c r="A154" s="8" t="str">
        <f t="shared" si="2"/>
        <v>INDEC-CM - 37930-12</v>
      </c>
      <c r="B154" s="11">
        <v>37930</v>
      </c>
      <c r="C154" s="12" t="s">
        <v>46</v>
      </c>
      <c r="D154" s="8">
        <v>12</v>
      </c>
      <c r="E154" s="10" t="s">
        <v>195</v>
      </c>
    </row>
    <row r="155" spans="1:7" x14ac:dyDescent="0.25">
      <c r="A155" s="8" t="str">
        <f t="shared" si="2"/>
        <v>INDEC-CM - 37930-11</v>
      </c>
      <c r="B155" s="11">
        <v>37930</v>
      </c>
      <c r="C155" s="12" t="s">
        <v>46</v>
      </c>
      <c r="D155" s="8">
        <v>11</v>
      </c>
      <c r="E155" s="10" t="s">
        <v>196</v>
      </c>
    </row>
    <row r="156" spans="1:7" x14ac:dyDescent="0.25">
      <c r="A156" s="8" t="str">
        <f t="shared" si="2"/>
        <v>INDEC-CM - 42999-61</v>
      </c>
      <c r="B156" s="11">
        <v>42999</v>
      </c>
      <c r="C156" s="12" t="s">
        <v>46</v>
      </c>
      <c r="D156" s="8">
        <v>61</v>
      </c>
      <c r="E156" s="13" t="s">
        <v>197</v>
      </c>
      <c r="F156" s="13"/>
      <c r="G156" s="13"/>
    </row>
    <row r="157" spans="1:7" x14ac:dyDescent="0.25">
      <c r="A157" s="8" t="str">
        <f t="shared" si="2"/>
        <v>INDEC-CM - 42999-62</v>
      </c>
      <c r="B157" s="11">
        <v>42999</v>
      </c>
      <c r="C157" s="12" t="s">
        <v>46</v>
      </c>
      <c r="D157" s="8">
        <v>62</v>
      </c>
      <c r="E157" s="13" t="s">
        <v>198</v>
      </c>
      <c r="F157" s="13"/>
      <c r="G157" s="13"/>
    </row>
    <row r="158" spans="1:7" x14ac:dyDescent="0.25">
      <c r="A158" s="8" t="str">
        <f t="shared" si="2"/>
        <v>INDEC-CM - 37610-11</v>
      </c>
      <c r="B158" s="11">
        <v>37610</v>
      </c>
      <c r="C158" s="12" t="s">
        <v>46</v>
      </c>
      <c r="D158" s="8">
        <v>11</v>
      </c>
      <c r="E158" s="13" t="s">
        <v>199</v>
      </c>
      <c r="F158" s="13"/>
      <c r="G158" s="13"/>
    </row>
    <row r="159" spans="1:7" x14ac:dyDescent="0.25">
      <c r="A159" s="8" t="str">
        <f t="shared" si="2"/>
        <v>INDEC-CM - 37610-12</v>
      </c>
      <c r="B159" s="11">
        <v>37610</v>
      </c>
      <c r="C159" s="12" t="s">
        <v>46</v>
      </c>
      <c r="D159" s="8">
        <v>12</v>
      </c>
      <c r="E159" s="13" t="s">
        <v>200</v>
      </c>
      <c r="F159" s="13"/>
      <c r="G159" s="13"/>
    </row>
    <row r="160" spans="1:7" x14ac:dyDescent="0.25">
      <c r="A160" s="8" t="str">
        <f t="shared" si="2"/>
        <v>INDEC-CM - 42943-11</v>
      </c>
      <c r="B160" s="11">
        <v>42943</v>
      </c>
      <c r="C160" s="12" t="s">
        <v>46</v>
      </c>
      <c r="D160" s="8">
        <v>11</v>
      </c>
      <c r="E160" s="13" t="s">
        <v>201</v>
      </c>
      <c r="F160" s="13"/>
      <c r="G160" s="13"/>
    </row>
    <row r="161" spans="1:7" x14ac:dyDescent="0.25">
      <c r="A161" s="8" t="str">
        <f t="shared" si="2"/>
        <v>INDEC-CM - 37540-11</v>
      </c>
      <c r="B161" s="11">
        <v>37540</v>
      </c>
      <c r="C161" s="12" t="s">
        <v>46</v>
      </c>
      <c r="D161" s="8">
        <v>11</v>
      </c>
      <c r="E161" s="10" t="s">
        <v>202</v>
      </c>
    </row>
    <row r="162" spans="1:7" x14ac:dyDescent="0.25">
      <c r="A162" s="8" t="str">
        <f t="shared" si="2"/>
        <v>INDEC-CM - 38130-16</v>
      </c>
      <c r="B162" s="11">
        <v>38130</v>
      </c>
      <c r="C162" s="12" t="s">
        <v>46</v>
      </c>
      <c r="D162" s="8">
        <v>16</v>
      </c>
      <c r="E162" s="13" t="s">
        <v>203</v>
      </c>
      <c r="F162" s="13"/>
      <c r="G162" s="13"/>
    </row>
    <row r="163" spans="1:7" x14ac:dyDescent="0.25">
      <c r="A163" s="8" t="str">
        <f t="shared" si="2"/>
        <v>INDEC-CM - 38130-15</v>
      </c>
      <c r="B163" s="11">
        <v>38130</v>
      </c>
      <c r="C163" s="12" t="s">
        <v>46</v>
      </c>
      <c r="D163" s="8">
        <v>15</v>
      </c>
      <c r="E163" s="13" t="s">
        <v>204</v>
      </c>
      <c r="F163" s="13"/>
      <c r="G163" s="13"/>
    </row>
    <row r="164" spans="1:7" x14ac:dyDescent="0.25">
      <c r="A164" s="8" t="str">
        <f t="shared" si="2"/>
        <v>INDEC-CM - 38130-14</v>
      </c>
      <c r="B164" s="11">
        <v>38130</v>
      </c>
      <c r="C164" s="12" t="s">
        <v>46</v>
      </c>
      <c r="D164" s="8">
        <v>14</v>
      </c>
      <c r="E164" s="13" t="s">
        <v>205</v>
      </c>
      <c r="F164" s="13"/>
      <c r="G164" s="13"/>
    </row>
    <row r="165" spans="1:7" x14ac:dyDescent="0.25">
      <c r="A165" s="8" t="str">
        <f t="shared" si="2"/>
        <v>INDEC-CM - 35490-11</v>
      </c>
      <c r="B165" s="11">
        <v>35490</v>
      </c>
      <c r="C165" s="12" t="s">
        <v>46</v>
      </c>
      <c r="D165" s="8">
        <v>11</v>
      </c>
      <c r="E165" s="10" t="s">
        <v>206</v>
      </c>
    </row>
    <row r="166" spans="1:7" x14ac:dyDescent="0.25">
      <c r="A166" s="8" t="str">
        <f t="shared" si="2"/>
        <v>INDEC-CM - 41251-11</v>
      </c>
      <c r="B166" s="11">
        <v>41251</v>
      </c>
      <c r="C166" s="12" t="s">
        <v>46</v>
      </c>
      <c r="D166" s="8">
        <v>11</v>
      </c>
      <c r="E166" s="13" t="s">
        <v>207</v>
      </c>
      <c r="F166" s="13"/>
      <c r="G166" s="13"/>
    </row>
    <row r="167" spans="1:7" x14ac:dyDescent="0.25">
      <c r="A167" s="8" t="str">
        <f t="shared" si="2"/>
        <v>INDEC-CM - 41278-21</v>
      </c>
      <c r="B167" s="11">
        <v>41278</v>
      </c>
      <c r="C167" s="12" t="s">
        <v>46</v>
      </c>
      <c r="D167" s="8">
        <v>21</v>
      </c>
      <c r="E167" s="13" t="s">
        <v>208</v>
      </c>
      <c r="F167" s="13"/>
      <c r="G167" s="13"/>
    </row>
    <row r="168" spans="1:7" x14ac:dyDescent="0.25">
      <c r="A168" s="8" t="str">
        <f t="shared" si="2"/>
        <v>INDEC-CM - 42911-71</v>
      </c>
      <c r="B168" s="11">
        <v>42911</v>
      </c>
      <c r="C168" s="12" t="s">
        <v>46</v>
      </c>
      <c r="D168" s="8">
        <v>71</v>
      </c>
      <c r="E168" s="13" t="s">
        <v>209</v>
      </c>
      <c r="F168" s="13"/>
      <c r="G168" s="13"/>
    </row>
    <row r="169" spans="1:7" x14ac:dyDescent="0.25">
      <c r="A169" s="8" t="str">
        <f t="shared" si="2"/>
        <v>INDEC-CM - 37210-42</v>
      </c>
      <c r="B169" s="11">
        <v>37210</v>
      </c>
      <c r="C169" s="12" t="s">
        <v>46</v>
      </c>
      <c r="D169" s="8">
        <v>42</v>
      </c>
      <c r="E169" s="13" t="s">
        <v>210</v>
      </c>
      <c r="F169" s="13"/>
      <c r="G169" s="13"/>
    </row>
    <row r="170" spans="1:7" x14ac:dyDescent="0.25">
      <c r="A170" s="8" t="str">
        <f t="shared" si="2"/>
        <v>INDEC-CM - 37210-41</v>
      </c>
      <c r="B170" s="11">
        <v>37210</v>
      </c>
      <c r="C170" s="12" t="s">
        <v>46</v>
      </c>
      <c r="D170" s="8">
        <v>41</v>
      </c>
      <c r="E170" s="13" t="s">
        <v>211</v>
      </c>
      <c r="F170" s="13"/>
      <c r="G170" s="13"/>
    </row>
    <row r="171" spans="1:7" x14ac:dyDescent="0.25">
      <c r="A171" s="8" t="str">
        <f t="shared" si="2"/>
        <v>INDEC-CM - 36930-11</v>
      </c>
      <c r="B171" s="11">
        <v>36930</v>
      </c>
      <c r="C171" s="12" t="s">
        <v>46</v>
      </c>
      <c r="D171" s="8">
        <v>11</v>
      </c>
      <c r="E171" s="10" t="s">
        <v>212</v>
      </c>
    </row>
    <row r="172" spans="1:7" x14ac:dyDescent="0.25">
      <c r="A172" s="8" t="str">
        <f t="shared" si="2"/>
        <v>INDEC-CM - 36950-21</v>
      </c>
      <c r="B172" s="11">
        <v>36950</v>
      </c>
      <c r="C172" s="12" t="s">
        <v>46</v>
      </c>
      <c r="D172" s="8">
        <v>21</v>
      </c>
      <c r="E172" s="10" t="s">
        <v>213</v>
      </c>
    </row>
    <row r="173" spans="1:7" x14ac:dyDescent="0.25">
      <c r="A173" s="8" t="str">
        <f t="shared" si="2"/>
        <v>INDEC-CM - 35110-31</v>
      </c>
      <c r="B173" s="11">
        <v>35110</v>
      </c>
      <c r="C173" s="12" t="s">
        <v>46</v>
      </c>
      <c r="D173" s="8">
        <v>31</v>
      </c>
      <c r="E173" s="10" t="s">
        <v>214</v>
      </c>
    </row>
    <row r="174" spans="1:7" x14ac:dyDescent="0.25">
      <c r="A174" s="8" t="str">
        <f t="shared" si="2"/>
        <v>INDEC-CM - 35110-32</v>
      </c>
      <c r="B174" s="11">
        <v>35110</v>
      </c>
      <c r="C174" s="12" t="s">
        <v>46</v>
      </c>
      <c r="D174" s="8">
        <v>32</v>
      </c>
      <c r="E174" s="10" t="s">
        <v>215</v>
      </c>
    </row>
    <row r="175" spans="1:7" x14ac:dyDescent="0.25">
      <c r="A175" s="8" t="str">
        <f t="shared" si="2"/>
        <v>INDEC-CM - 37940-11</v>
      </c>
      <c r="B175" s="11">
        <v>37940</v>
      </c>
      <c r="C175" s="12" t="s">
        <v>46</v>
      </c>
      <c r="D175" s="8">
        <v>11</v>
      </c>
      <c r="E175" s="10" t="s">
        <v>216</v>
      </c>
    </row>
    <row r="176" spans="1:7" x14ac:dyDescent="0.25">
      <c r="A176" s="8" t="str">
        <f t="shared" si="2"/>
        <v>INDEC-CM - 35110-71</v>
      </c>
      <c r="B176" s="11">
        <v>35110</v>
      </c>
      <c r="C176" s="12" t="s">
        <v>46</v>
      </c>
      <c r="D176" s="8">
        <v>71</v>
      </c>
      <c r="E176" s="10" t="s">
        <v>217</v>
      </c>
    </row>
    <row r="177" spans="1:7" x14ac:dyDescent="0.25">
      <c r="A177" s="8" t="str">
        <f t="shared" si="2"/>
        <v>INDEC-CM - 31210-31</v>
      </c>
      <c r="B177" s="11">
        <v>31210</v>
      </c>
      <c r="C177" s="12" t="s">
        <v>46</v>
      </c>
      <c r="D177" s="8">
        <v>31</v>
      </c>
      <c r="E177" s="10" t="s">
        <v>218</v>
      </c>
    </row>
    <row r="178" spans="1:7" x14ac:dyDescent="0.25">
      <c r="A178" s="8" t="str">
        <f t="shared" si="2"/>
        <v>INDEC-CM - 31210-32</v>
      </c>
      <c r="B178" s="11">
        <v>31210</v>
      </c>
      <c r="C178" s="12" t="s">
        <v>46</v>
      </c>
      <c r="D178" s="8">
        <v>32</v>
      </c>
      <c r="E178" s="10" t="s">
        <v>219</v>
      </c>
    </row>
    <row r="179" spans="1:7" x14ac:dyDescent="0.25">
      <c r="A179" s="8" t="str">
        <f t="shared" si="2"/>
        <v>INDEC-CM - 41541-11</v>
      </c>
      <c r="B179" s="11">
        <v>41541</v>
      </c>
      <c r="C179" s="12" t="s">
        <v>46</v>
      </c>
      <c r="D179" s="8">
        <v>11</v>
      </c>
      <c r="E179" s="10" t="s">
        <v>220</v>
      </c>
    </row>
    <row r="180" spans="1:7" x14ac:dyDescent="0.25">
      <c r="A180" s="8" t="str">
        <f t="shared" si="2"/>
        <v>INDEC-CM - 34720-11</v>
      </c>
      <c r="B180" s="11">
        <v>34720</v>
      </c>
      <c r="C180" s="12" t="s">
        <v>46</v>
      </c>
      <c r="D180" s="8">
        <v>11</v>
      </c>
      <c r="E180" s="13" t="s">
        <v>221</v>
      </c>
      <c r="F180" s="13"/>
      <c r="G180" s="13"/>
    </row>
    <row r="181" spans="1:7" x14ac:dyDescent="0.25">
      <c r="A181" s="8" t="str">
        <f t="shared" si="2"/>
        <v>INDEC-CM - 47220-11</v>
      </c>
      <c r="B181" s="11">
        <v>47220</v>
      </c>
      <c r="C181" s="12" t="s">
        <v>46</v>
      </c>
      <c r="D181" s="8">
        <v>11</v>
      </c>
      <c r="E181" s="13" t="s">
        <v>222</v>
      </c>
      <c r="F181" s="13"/>
      <c r="G181" s="13"/>
    </row>
    <row r="182" spans="1:7" x14ac:dyDescent="0.25">
      <c r="A182" s="8" t="str">
        <f t="shared" si="2"/>
        <v>INDEC-CM - 31600-81</v>
      </c>
      <c r="B182" s="11">
        <v>31600</v>
      </c>
      <c r="C182" s="12" t="s">
        <v>46</v>
      </c>
      <c r="D182" s="8">
        <v>81</v>
      </c>
      <c r="E182" s="10" t="s">
        <v>223</v>
      </c>
    </row>
    <row r="183" spans="1:7" x14ac:dyDescent="0.25">
      <c r="A183" s="8" t="str">
        <f t="shared" si="2"/>
        <v>INDEC-CM - 42120-31</v>
      </c>
      <c r="B183" s="11">
        <v>42120</v>
      </c>
      <c r="C183" s="12" t="s">
        <v>46</v>
      </c>
      <c r="D183" s="8">
        <v>31</v>
      </c>
      <c r="E183" s="10" t="s">
        <v>224</v>
      </c>
    </row>
    <row r="184" spans="1:7" x14ac:dyDescent="0.25">
      <c r="A184" s="8" t="str">
        <f t="shared" si="2"/>
        <v>INDEC-CM - 35490-21</v>
      </c>
      <c r="B184" s="11">
        <v>35490</v>
      </c>
      <c r="C184" s="12" t="s">
        <v>46</v>
      </c>
      <c r="D184" s="8">
        <v>21</v>
      </c>
      <c r="E184" s="13" t="s">
        <v>225</v>
      </c>
      <c r="F184" s="13"/>
      <c r="G184" s="13"/>
    </row>
    <row r="185" spans="1:7" x14ac:dyDescent="0.25">
      <c r="A185" s="8" t="str">
        <f t="shared" si="2"/>
        <v>INDEC-CM - 31600-41</v>
      </c>
      <c r="B185" s="11">
        <v>31600</v>
      </c>
      <c r="C185" s="12" t="s">
        <v>46</v>
      </c>
      <c r="D185" s="8">
        <v>41</v>
      </c>
      <c r="E185" s="13" t="s">
        <v>226</v>
      </c>
      <c r="F185" s="13"/>
      <c r="G185" s="13"/>
    </row>
    <row r="186" spans="1:7" x14ac:dyDescent="0.25">
      <c r="A186" s="8" t="str">
        <f t="shared" si="2"/>
        <v>INDEC-CM - 42120-21</v>
      </c>
      <c r="B186" s="11">
        <v>42120</v>
      </c>
      <c r="C186" s="12" t="s">
        <v>46</v>
      </c>
      <c r="D186" s="8">
        <v>21</v>
      </c>
      <c r="E186" s="13" t="s">
        <v>227</v>
      </c>
      <c r="F186" s="13"/>
      <c r="G186" s="13"/>
    </row>
    <row r="187" spans="1:7" x14ac:dyDescent="0.25">
      <c r="A187" s="8" t="str">
        <f t="shared" si="2"/>
        <v>INDEC-CM - 42120-22</v>
      </c>
      <c r="B187" s="11">
        <v>42120</v>
      </c>
      <c r="C187" s="12" t="s">
        <v>46</v>
      </c>
      <c r="D187" s="8">
        <v>22</v>
      </c>
      <c r="E187" s="13" t="s">
        <v>228</v>
      </c>
      <c r="F187" s="13"/>
      <c r="G187" s="13"/>
    </row>
    <row r="188" spans="1:7" x14ac:dyDescent="0.25">
      <c r="A188" s="8" t="str">
        <f t="shared" si="2"/>
        <v>INDEC-CM - 31600-33</v>
      </c>
      <c r="B188" s="11">
        <v>31600</v>
      </c>
      <c r="C188" s="12" t="s">
        <v>46</v>
      </c>
      <c r="D188" s="8">
        <v>33</v>
      </c>
      <c r="E188" s="10" t="s">
        <v>229</v>
      </c>
    </row>
    <row r="189" spans="1:7" x14ac:dyDescent="0.25">
      <c r="A189" s="8" t="str">
        <f t="shared" si="2"/>
        <v>INDEC-CM - 31600-32</v>
      </c>
      <c r="B189" s="11">
        <v>31600</v>
      </c>
      <c r="C189" s="12" t="s">
        <v>46</v>
      </c>
      <c r="D189" s="8">
        <v>32</v>
      </c>
      <c r="E189" s="10" t="s">
        <v>230</v>
      </c>
    </row>
    <row r="190" spans="1:7" x14ac:dyDescent="0.25">
      <c r="A190" s="8" t="str">
        <f t="shared" si="2"/>
        <v>INDEC-CM - 31600-31</v>
      </c>
      <c r="B190" s="11">
        <v>31600</v>
      </c>
      <c r="C190" s="12" t="s">
        <v>46</v>
      </c>
      <c r="D190" s="8">
        <v>31</v>
      </c>
      <c r="E190" s="10" t="s">
        <v>231</v>
      </c>
    </row>
    <row r="191" spans="1:7" x14ac:dyDescent="0.25">
      <c r="A191" s="8" t="str">
        <f t="shared" si="2"/>
        <v>INDEC-CM - 42120-11</v>
      </c>
      <c r="B191" s="11">
        <v>42120</v>
      </c>
      <c r="C191" s="12" t="s">
        <v>46</v>
      </c>
      <c r="D191" s="8">
        <v>11</v>
      </c>
      <c r="E191" s="10" t="s">
        <v>232</v>
      </c>
    </row>
    <row r="192" spans="1:7" x14ac:dyDescent="0.25">
      <c r="A192" s="8" t="str">
        <f t="shared" si="2"/>
        <v>INDEC-CM - 31600-23</v>
      </c>
      <c r="B192" s="11">
        <v>31600</v>
      </c>
      <c r="C192" s="12" t="s">
        <v>46</v>
      </c>
      <c r="D192" s="8">
        <v>23</v>
      </c>
      <c r="E192" s="10" t="s">
        <v>233</v>
      </c>
    </row>
    <row r="193" spans="1:7" x14ac:dyDescent="0.25">
      <c r="A193" s="8" t="str">
        <f t="shared" si="2"/>
        <v>INDEC-CM - 31600-22</v>
      </c>
      <c r="B193" s="11">
        <v>31600</v>
      </c>
      <c r="C193" s="12" t="s">
        <v>46</v>
      </c>
      <c r="D193" s="8">
        <v>22</v>
      </c>
      <c r="E193" s="10" t="s">
        <v>234</v>
      </c>
    </row>
    <row r="194" spans="1:7" x14ac:dyDescent="0.25">
      <c r="A194" s="8" t="str">
        <f t="shared" si="2"/>
        <v>INDEC-CM - 31600-21</v>
      </c>
      <c r="B194" s="11">
        <v>31600</v>
      </c>
      <c r="C194" s="12" t="s">
        <v>46</v>
      </c>
      <c r="D194" s="8">
        <v>21</v>
      </c>
      <c r="E194" s="10" t="s">
        <v>235</v>
      </c>
    </row>
    <row r="195" spans="1:7" x14ac:dyDescent="0.25">
      <c r="A195" s="8" t="str">
        <f t="shared" si="2"/>
        <v>INDEC-CM - 41278-33</v>
      </c>
      <c r="B195" s="11">
        <v>41278</v>
      </c>
      <c r="C195" s="12" t="s">
        <v>46</v>
      </c>
      <c r="D195" s="8">
        <v>33</v>
      </c>
      <c r="E195" s="13" t="s">
        <v>236</v>
      </c>
      <c r="F195" s="13"/>
      <c r="G195" s="13"/>
    </row>
    <row r="196" spans="1:7" x14ac:dyDescent="0.25">
      <c r="A196" s="8" t="str">
        <f t="shared" si="2"/>
        <v>INDEC-CM - 36320-33</v>
      </c>
      <c r="B196" s="11">
        <v>36320</v>
      </c>
      <c r="C196" s="12" t="s">
        <v>46</v>
      </c>
      <c r="D196" s="8">
        <v>33</v>
      </c>
      <c r="E196" s="10" t="s">
        <v>237</v>
      </c>
    </row>
    <row r="197" spans="1:7" x14ac:dyDescent="0.25">
      <c r="A197" s="8" t="str">
        <f t="shared" si="2"/>
        <v>INDEC-CM - 48270-11</v>
      </c>
      <c r="B197" s="11">
        <v>48270</v>
      </c>
      <c r="C197" s="12" t="s">
        <v>46</v>
      </c>
      <c r="D197" s="8">
        <v>11</v>
      </c>
      <c r="E197" s="13" t="s">
        <v>238</v>
      </c>
      <c r="F197" s="13"/>
      <c r="G197" s="13"/>
    </row>
    <row r="198" spans="1:7" x14ac:dyDescent="0.25">
      <c r="A198" s="8" t="str">
        <f t="shared" ref="A198:A220" si="3">CONCATENATE("INDEC-CM - ",B198,C198,D198)</f>
        <v>INDEC-CM - 42190-11</v>
      </c>
      <c r="B198" s="11">
        <v>42190</v>
      </c>
      <c r="C198" s="12" t="s">
        <v>46</v>
      </c>
      <c r="D198" s="8">
        <v>11</v>
      </c>
      <c r="E198" s="10" t="s">
        <v>239</v>
      </c>
    </row>
    <row r="199" spans="1:7" x14ac:dyDescent="0.25">
      <c r="A199" s="8" t="str">
        <f t="shared" si="3"/>
        <v>INDEC-CM - 43923-31</v>
      </c>
      <c r="B199" s="11">
        <v>43923</v>
      </c>
      <c r="C199" s="12" t="s">
        <v>46</v>
      </c>
      <c r="D199" s="8">
        <v>31</v>
      </c>
      <c r="E199" s="13" t="s">
        <v>240</v>
      </c>
      <c r="F199" s="13"/>
      <c r="G199" s="13"/>
    </row>
    <row r="200" spans="1:7" x14ac:dyDescent="0.25">
      <c r="A200" s="8" t="str">
        <f t="shared" si="3"/>
        <v>INDEC-CM - 31210-11</v>
      </c>
      <c r="B200" s="11">
        <v>31210</v>
      </c>
      <c r="C200" s="12" t="s">
        <v>46</v>
      </c>
      <c r="D200" s="8">
        <v>11</v>
      </c>
      <c r="E200" s="13" t="s">
        <v>241</v>
      </c>
      <c r="F200" s="13"/>
      <c r="G200" s="13"/>
    </row>
    <row r="201" spans="1:7" x14ac:dyDescent="0.25">
      <c r="A201" s="8" t="str">
        <f t="shared" si="3"/>
        <v>INDEC-CM - 37129-21</v>
      </c>
      <c r="B201" s="11">
        <v>37129</v>
      </c>
      <c r="C201" s="12" t="s">
        <v>46</v>
      </c>
      <c r="D201" s="8">
        <v>21</v>
      </c>
      <c r="E201" s="10" t="s">
        <v>242</v>
      </c>
    </row>
    <row r="202" spans="1:7" x14ac:dyDescent="0.25">
      <c r="A202" s="8" t="str">
        <f t="shared" si="3"/>
        <v>INDEC-CM - 37560-21</v>
      </c>
      <c r="B202" s="11">
        <v>37560</v>
      </c>
      <c r="C202" s="12" t="s">
        <v>46</v>
      </c>
      <c r="D202" s="8">
        <v>21</v>
      </c>
      <c r="E202" s="13" t="s">
        <v>243</v>
      </c>
      <c r="F202" s="13"/>
      <c r="G202" s="13"/>
    </row>
    <row r="203" spans="1:7" x14ac:dyDescent="0.25">
      <c r="A203" s="8" t="str">
        <f t="shared" si="3"/>
        <v>INDEC-CM - 42999-71</v>
      </c>
      <c r="B203" s="11">
        <v>42999</v>
      </c>
      <c r="C203" s="12" t="s">
        <v>46</v>
      </c>
      <c r="D203" s="8">
        <v>71</v>
      </c>
      <c r="E203" s="10" t="s">
        <v>244</v>
      </c>
    </row>
    <row r="204" spans="1:7" x14ac:dyDescent="0.25">
      <c r="A204" s="8" t="str">
        <f t="shared" si="3"/>
        <v>INDEC-CM - 41516-22</v>
      </c>
      <c r="B204" s="11">
        <v>41516</v>
      </c>
      <c r="C204" s="12" t="s">
        <v>46</v>
      </c>
      <c r="D204" s="8">
        <v>22</v>
      </c>
      <c r="E204" s="10" t="s">
        <v>245</v>
      </c>
    </row>
    <row r="205" spans="1:7" x14ac:dyDescent="0.25">
      <c r="A205" s="8" t="str">
        <f t="shared" si="3"/>
        <v>INDEC-CM - 37350-51</v>
      </c>
      <c r="B205" s="11">
        <v>37350</v>
      </c>
      <c r="C205" s="12" t="s">
        <v>46</v>
      </c>
      <c r="D205" s="8">
        <v>51</v>
      </c>
      <c r="E205" s="10" t="s">
        <v>246</v>
      </c>
    </row>
    <row r="206" spans="1:7" x14ac:dyDescent="0.25">
      <c r="A206" s="8" t="str">
        <f t="shared" si="3"/>
        <v>INDEC-CM - 44826-21</v>
      </c>
      <c r="B206" s="11">
        <v>44826</v>
      </c>
      <c r="C206" s="12" t="s">
        <v>46</v>
      </c>
      <c r="D206" s="8">
        <v>21</v>
      </c>
      <c r="E206" s="10" t="s">
        <v>247</v>
      </c>
    </row>
    <row r="207" spans="1:7" x14ac:dyDescent="0.25">
      <c r="A207" s="8" t="str">
        <f t="shared" si="3"/>
        <v>INDEC-CM - 31210-22</v>
      </c>
      <c r="B207" s="11">
        <v>31210</v>
      </c>
      <c r="C207" s="12" t="s">
        <v>46</v>
      </c>
      <c r="D207" s="8">
        <v>22</v>
      </c>
      <c r="E207" s="10" t="s">
        <v>248</v>
      </c>
    </row>
    <row r="208" spans="1:7" x14ac:dyDescent="0.25">
      <c r="A208" s="8" t="str">
        <f t="shared" si="3"/>
        <v>INDEC-CM - 31100-11</v>
      </c>
      <c r="B208" s="11">
        <v>31100</v>
      </c>
      <c r="C208" s="12" t="s">
        <v>46</v>
      </c>
      <c r="D208" s="8">
        <v>11</v>
      </c>
      <c r="E208" s="10" t="s">
        <v>249</v>
      </c>
    </row>
    <row r="209" spans="1:7" x14ac:dyDescent="0.25">
      <c r="A209" s="8" t="str">
        <f t="shared" si="3"/>
        <v>INDEC-CM - 46212-53</v>
      </c>
      <c r="B209" s="11">
        <v>46212</v>
      </c>
      <c r="C209" s="12" t="s">
        <v>46</v>
      </c>
      <c r="D209" s="8">
        <v>53</v>
      </c>
      <c r="E209" s="10" t="s">
        <v>250</v>
      </c>
    </row>
    <row r="210" spans="1:7" x14ac:dyDescent="0.25">
      <c r="A210" s="8" t="str">
        <f t="shared" si="3"/>
        <v>INDEC-CM - 46212-52</v>
      </c>
      <c r="B210" s="11">
        <v>46212</v>
      </c>
      <c r="C210" s="12" t="s">
        <v>46</v>
      </c>
      <c r="D210" s="8">
        <v>52</v>
      </c>
      <c r="E210" s="13" t="s">
        <v>251</v>
      </c>
      <c r="F210" s="13"/>
      <c r="G210" s="13"/>
    </row>
    <row r="211" spans="1:7" x14ac:dyDescent="0.25">
      <c r="A211" s="8" t="str">
        <f t="shared" si="3"/>
        <v>INDEC-CM - 15400-21</v>
      </c>
      <c r="B211" s="11">
        <v>15400</v>
      </c>
      <c r="C211" s="12" t="s">
        <v>46</v>
      </c>
      <c r="D211" s="8">
        <v>21</v>
      </c>
      <c r="E211" s="10" t="s">
        <v>252</v>
      </c>
    </row>
    <row r="212" spans="1:7" x14ac:dyDescent="0.25">
      <c r="A212" s="8" t="str">
        <f t="shared" si="3"/>
        <v>INDEC-CM - 43240-11</v>
      </c>
      <c r="B212" s="11">
        <v>43240</v>
      </c>
      <c r="C212" s="12" t="s">
        <v>46</v>
      </c>
      <c r="D212" s="8">
        <v>11</v>
      </c>
      <c r="E212" s="10" t="s">
        <v>253</v>
      </c>
    </row>
    <row r="213" spans="1:7" x14ac:dyDescent="0.25">
      <c r="A213" s="8" t="str">
        <f t="shared" si="3"/>
        <v>INDEC-CM - 31600-42</v>
      </c>
      <c r="B213" s="11">
        <v>31600</v>
      </c>
      <c r="C213" s="12" t="s">
        <v>46</v>
      </c>
      <c r="D213" s="8">
        <v>42</v>
      </c>
      <c r="E213" s="13" t="s">
        <v>254</v>
      </c>
      <c r="F213" s="13"/>
      <c r="G213" s="13"/>
    </row>
    <row r="214" spans="1:7" x14ac:dyDescent="0.25">
      <c r="A214" s="8" t="str">
        <f t="shared" si="3"/>
        <v>INDEC-CM - 42120-42</v>
      </c>
      <c r="B214" s="11">
        <v>42120</v>
      </c>
      <c r="C214" s="12" t="s">
        <v>46</v>
      </c>
      <c r="D214" s="8">
        <v>42</v>
      </c>
      <c r="E214" s="13" t="s">
        <v>255</v>
      </c>
      <c r="F214" s="13"/>
      <c r="G214" s="13"/>
    </row>
    <row r="215" spans="1:7" x14ac:dyDescent="0.25">
      <c r="A215" s="8" t="str">
        <f t="shared" si="3"/>
        <v>INDEC-CM - 42120-41</v>
      </c>
      <c r="B215" s="11">
        <v>42120</v>
      </c>
      <c r="C215" s="12" t="s">
        <v>46</v>
      </c>
      <c r="D215" s="8">
        <v>41</v>
      </c>
      <c r="E215" s="13" t="s">
        <v>256</v>
      </c>
      <c r="F215" s="13"/>
      <c r="G215" s="13"/>
    </row>
    <row r="216" spans="1:7" x14ac:dyDescent="0.25">
      <c r="A216" s="8" t="str">
        <f t="shared" si="3"/>
        <v>INDEC-CM - 42120-51</v>
      </c>
      <c r="B216" s="11">
        <v>42120</v>
      </c>
      <c r="C216" s="12" t="s">
        <v>46</v>
      </c>
      <c r="D216" s="8">
        <v>51</v>
      </c>
      <c r="E216" s="10" t="s">
        <v>257</v>
      </c>
    </row>
    <row r="217" spans="1:7" x14ac:dyDescent="0.25">
      <c r="A217" s="8" t="str">
        <f t="shared" si="3"/>
        <v>INDEC-CM - 37550-11</v>
      </c>
      <c r="B217" s="11">
        <v>37550</v>
      </c>
      <c r="C217" s="12" t="s">
        <v>46</v>
      </c>
      <c r="D217" s="8">
        <v>11</v>
      </c>
      <c r="E217" s="10" t="s">
        <v>258</v>
      </c>
    </row>
    <row r="218" spans="1:7" x14ac:dyDescent="0.25">
      <c r="A218" s="8" t="str">
        <f t="shared" si="3"/>
        <v>INDEC-CM - 37410-11</v>
      </c>
      <c r="B218" s="11">
        <v>37410</v>
      </c>
      <c r="C218" s="12" t="s">
        <v>46</v>
      </c>
      <c r="D218" s="8">
        <v>11</v>
      </c>
      <c r="E218" s="10" t="s">
        <v>259</v>
      </c>
    </row>
    <row r="219" spans="1:7" x14ac:dyDescent="0.25">
      <c r="A219" s="8" t="str">
        <f t="shared" si="3"/>
        <v>INDEC-CM - 31210-33</v>
      </c>
      <c r="B219" s="11">
        <v>31210</v>
      </c>
      <c r="C219" s="12" t="s">
        <v>46</v>
      </c>
      <c r="D219" s="8">
        <v>33</v>
      </c>
      <c r="E219" s="10" t="s">
        <v>260</v>
      </c>
    </row>
    <row r="220" spans="1:7" x14ac:dyDescent="0.25">
      <c r="A220" s="8" t="str">
        <f t="shared" si="3"/>
        <v>INDEC-CM - 37540-21</v>
      </c>
      <c r="B220" s="11">
        <v>37540</v>
      </c>
      <c r="C220" s="12" t="s">
        <v>46</v>
      </c>
      <c r="D220" s="8">
        <v>21</v>
      </c>
      <c r="E220" s="10" t="s">
        <v>261</v>
      </c>
    </row>
    <row r="223" spans="1:7" x14ac:dyDescent="0.25">
      <c r="A223" s="14"/>
      <c r="B223" s="6" t="s">
        <v>540</v>
      </c>
      <c r="C223" s="14"/>
      <c r="D223" s="15"/>
      <c r="E223" s="14"/>
    </row>
    <row r="224" spans="1:7" x14ac:dyDescent="0.25">
      <c r="A224" s="14"/>
      <c r="B224" s="16"/>
      <c r="C224" s="14"/>
      <c r="D224" s="15"/>
      <c r="E224" s="14"/>
    </row>
    <row r="225" spans="1:5" ht="11.25" customHeight="1" x14ac:dyDescent="0.25">
      <c r="A225" s="620" t="s">
        <v>348</v>
      </c>
      <c r="B225" s="619" t="s">
        <v>43</v>
      </c>
      <c r="C225" s="619"/>
      <c r="D225" s="619"/>
      <c r="E225" s="620" t="s">
        <v>44</v>
      </c>
    </row>
    <row r="226" spans="1:5" ht="12" customHeight="1" x14ac:dyDescent="0.25">
      <c r="A226" s="620"/>
      <c r="B226" s="619" t="s">
        <v>45</v>
      </c>
      <c r="C226" s="619"/>
      <c r="D226" s="619"/>
      <c r="E226" s="620"/>
    </row>
    <row r="227" spans="1:5" x14ac:dyDescent="0.25">
      <c r="A227" s="8" t="str">
        <f>CONCATENATE(B227,C227,D227)</f>
        <v/>
      </c>
      <c r="B227" s="17"/>
      <c r="C227" s="14"/>
      <c r="D227" s="15"/>
      <c r="E227" s="14"/>
    </row>
    <row r="228" spans="1:5" x14ac:dyDescent="0.25">
      <c r="A228" s="8" t="str">
        <f>CONCATENATE("INDEC-CM - ",B228,C228,D228)</f>
        <v>INDEC-CM - 37370-0</v>
      </c>
      <c r="B228" s="18">
        <v>37370</v>
      </c>
      <c r="C228" s="18" t="s">
        <v>46</v>
      </c>
      <c r="D228" s="15">
        <v>0</v>
      </c>
      <c r="E228" s="14" t="s">
        <v>541</v>
      </c>
    </row>
    <row r="229" spans="1:5" x14ac:dyDescent="0.25">
      <c r="A229" s="8" t="str">
        <f>CONCATENATE("INDEC-CM - ",B229,C229,D229)</f>
        <v>INDEC-CM - 31600-6</v>
      </c>
      <c r="B229" s="18">
        <v>31600</v>
      </c>
      <c r="C229" s="18" t="s">
        <v>46</v>
      </c>
      <c r="D229" s="15">
        <v>6</v>
      </c>
      <c r="E229" s="14" t="s">
        <v>542</v>
      </c>
    </row>
    <row r="230" spans="1:5" x14ac:dyDescent="0.25">
      <c r="A230" s="8" t="str">
        <f>CONCATENATE("INDEC-CM - ",B230,C230,D230)</f>
        <v>INDEC-CM - 41278-0</v>
      </c>
      <c r="B230" s="18">
        <v>41278</v>
      </c>
      <c r="C230" s="18" t="s">
        <v>46</v>
      </c>
      <c r="D230" s="15">
        <v>0</v>
      </c>
      <c r="E230" s="14" t="s">
        <v>543</v>
      </c>
    </row>
    <row r="231" spans="1:5" x14ac:dyDescent="0.25">
      <c r="A231" s="8" t="str">
        <f>CONCATENATE("INDEC-CM - ",B231,C231,D231)</f>
        <v>INDEC-CM - 31600-7</v>
      </c>
      <c r="B231" s="18">
        <v>31600</v>
      </c>
      <c r="C231" s="18" t="s">
        <v>46</v>
      </c>
      <c r="D231" s="15">
        <v>7</v>
      </c>
      <c r="E231" s="14" t="s">
        <v>544</v>
      </c>
    </row>
    <row r="232" spans="1:5" x14ac:dyDescent="0.25">
      <c r="A232" s="8" t="str">
        <f>CONCATENATE("INDEC-CM - ",B232,C232,D232)</f>
        <v>INDEC-CM - 42120-41/42/51</v>
      </c>
      <c r="B232" s="18">
        <v>42120</v>
      </c>
      <c r="C232" s="18" t="s">
        <v>46</v>
      </c>
      <c r="D232" s="15" t="s">
        <v>545</v>
      </c>
      <c r="E232" s="14" t="s">
        <v>546</v>
      </c>
    </row>
    <row r="235" spans="1:5" x14ac:dyDescent="0.25">
      <c r="A235" s="20"/>
      <c r="B235" s="6" t="s">
        <v>548</v>
      </c>
      <c r="C235" s="19"/>
      <c r="D235" s="20"/>
      <c r="E235" s="20"/>
    </row>
    <row r="236" spans="1:5" x14ac:dyDescent="0.25">
      <c r="A236" s="23"/>
      <c r="B236" s="21"/>
      <c r="C236" s="21"/>
      <c r="D236" s="22"/>
      <c r="E236" s="21"/>
    </row>
    <row r="237" spans="1:5" x14ac:dyDescent="0.25">
      <c r="A237" s="620" t="s">
        <v>348</v>
      </c>
      <c r="B237" s="619" t="s">
        <v>43</v>
      </c>
      <c r="C237" s="619"/>
      <c r="D237" s="619"/>
      <c r="E237" s="619" t="s">
        <v>332</v>
      </c>
    </row>
    <row r="238" spans="1:5" x14ac:dyDescent="0.25">
      <c r="A238" s="620"/>
      <c r="B238" s="620"/>
      <c r="C238" s="620"/>
      <c r="D238" s="620"/>
      <c r="E238" s="619"/>
    </row>
    <row r="239" spans="1:5" x14ac:dyDescent="0.25">
      <c r="A239" s="21"/>
      <c r="B239" s="21"/>
      <c r="C239" s="21"/>
      <c r="D239" s="24"/>
      <c r="E239" s="25" t="s">
        <v>268</v>
      </c>
    </row>
    <row r="240" spans="1:5" x14ac:dyDescent="0.25">
      <c r="A240" s="21"/>
      <c r="B240" s="21"/>
      <c r="C240" s="21"/>
      <c r="D240" s="24"/>
      <c r="E240" s="25"/>
    </row>
    <row r="241" spans="1:5" x14ac:dyDescent="0.25">
      <c r="A241" s="23"/>
      <c r="B241" s="21"/>
      <c r="C241" s="21"/>
      <c r="D241" s="22"/>
      <c r="E241" s="19" t="s">
        <v>333</v>
      </c>
    </row>
    <row r="242" spans="1:5" x14ac:dyDescent="0.25">
      <c r="A242" s="23"/>
      <c r="B242" s="21"/>
      <c r="C242" s="21"/>
      <c r="D242" s="22"/>
      <c r="E242" s="19"/>
    </row>
    <row r="243" spans="1:5" x14ac:dyDescent="0.25">
      <c r="A243" s="21"/>
      <c r="B243" s="23"/>
      <c r="C243" s="21"/>
      <c r="D243" s="24"/>
      <c r="E243" s="19" t="s">
        <v>334</v>
      </c>
    </row>
    <row r="244" spans="1:5" x14ac:dyDescent="0.25">
      <c r="A244" s="8" t="str">
        <f>CONCATENATE("INDEC-MO - ",B244,C244,D244)</f>
        <v>INDEC-MO - 51560-11</v>
      </c>
      <c r="B244" s="26">
        <v>51560</v>
      </c>
      <c r="C244" s="21" t="s">
        <v>46</v>
      </c>
      <c r="D244" s="24">
        <v>11</v>
      </c>
      <c r="E244" s="27" t="s">
        <v>335</v>
      </c>
    </row>
    <row r="245" spans="1:5" x14ac:dyDescent="0.25">
      <c r="A245" s="8" t="str">
        <f>CONCATENATE("INDEC-MO - ",B245,C245,D245)</f>
        <v>INDEC-MO - 51560-12</v>
      </c>
      <c r="B245" s="26">
        <v>51560</v>
      </c>
      <c r="C245" s="21" t="s">
        <v>46</v>
      </c>
      <c r="D245" s="24">
        <v>12</v>
      </c>
      <c r="E245" s="27" t="s">
        <v>336</v>
      </c>
    </row>
    <row r="246" spans="1:5" x14ac:dyDescent="0.25">
      <c r="A246" s="8" t="str">
        <f>CONCATENATE("INDEC-MO - ",B246,C246,D246)</f>
        <v>INDEC-MO - 51560-13</v>
      </c>
      <c r="B246" s="26">
        <v>51560</v>
      </c>
      <c r="C246" s="21" t="s">
        <v>46</v>
      </c>
      <c r="D246" s="24">
        <v>13</v>
      </c>
      <c r="E246" s="27" t="s">
        <v>337</v>
      </c>
    </row>
    <row r="247" spans="1:5" x14ac:dyDescent="0.25">
      <c r="A247" s="8" t="str">
        <f>CONCATENATE("INDEC-MO - ",B247,C247,D247)</f>
        <v>INDEC-MO - 51560-14</v>
      </c>
      <c r="B247" s="26">
        <v>51560</v>
      </c>
      <c r="C247" s="21" t="s">
        <v>46</v>
      </c>
      <c r="D247" s="24">
        <v>14</v>
      </c>
      <c r="E247" s="27" t="s">
        <v>338</v>
      </c>
    </row>
    <row r="248" spans="1:5" x14ac:dyDescent="0.25">
      <c r="A248" s="8" t="str">
        <f>CONCATENATE(B248,C248,D248)</f>
        <v/>
      </c>
      <c r="B248" s="26"/>
      <c r="C248" s="21"/>
      <c r="D248" s="24"/>
      <c r="E248" s="21"/>
    </row>
    <row r="249" spans="1:5" ht="11.4" x14ac:dyDescent="0.25">
      <c r="A249" s="8" t="str">
        <f>CONCATENATE("INDEC-MO - ",B249,C249,D249)</f>
        <v>INDEC-MO - 51560-32</v>
      </c>
      <c r="B249" s="26">
        <v>51560</v>
      </c>
      <c r="C249" s="21" t="s">
        <v>46</v>
      </c>
      <c r="D249" s="24">
        <v>32</v>
      </c>
      <c r="E249" s="19" t="s">
        <v>339</v>
      </c>
    </row>
    <row r="250" spans="1:5" x14ac:dyDescent="0.25">
      <c r="A250" s="8" t="str">
        <f>CONCATENATE(B250,C250,D250)</f>
        <v/>
      </c>
      <c r="B250" s="26"/>
      <c r="C250" s="21"/>
      <c r="D250" s="24"/>
      <c r="E250" s="21"/>
    </row>
    <row r="251" spans="1:5" ht="11.4" x14ac:dyDescent="0.25">
      <c r="A251" s="8" t="str">
        <f>CONCATENATE("INDEC-MO - ",B251,C251,D251)</f>
        <v>INDEC-MO - 81291-1</v>
      </c>
      <c r="B251" s="26">
        <v>81291</v>
      </c>
      <c r="C251" s="21" t="s">
        <v>46</v>
      </c>
      <c r="D251" s="24">
        <v>1</v>
      </c>
      <c r="E251" s="25" t="s">
        <v>340</v>
      </c>
    </row>
    <row r="252" spans="1:5" x14ac:dyDescent="0.25">
      <c r="A252" s="8" t="str">
        <f>CONCATENATE(B252,C252,D252)</f>
        <v/>
      </c>
      <c r="B252" s="26"/>
      <c r="C252" s="21"/>
      <c r="D252" s="24"/>
      <c r="E252" s="21"/>
    </row>
    <row r="253" spans="1:5" x14ac:dyDescent="0.25">
      <c r="A253" s="8" t="str">
        <f>CONCATENATE(B253,C253,D253)</f>
        <v/>
      </c>
      <c r="B253" s="26"/>
      <c r="C253" s="21"/>
      <c r="D253" s="24"/>
      <c r="E253" s="25" t="s">
        <v>341</v>
      </c>
    </row>
    <row r="254" spans="1:5" x14ac:dyDescent="0.25">
      <c r="A254" s="8" t="str">
        <f t="shared" ref="A254:A259" si="4">CONCATENATE("INDEC-MO - ",B254,C254,D254)</f>
        <v>INDEC-MO - 51641-1</v>
      </c>
      <c r="B254" s="26">
        <v>51641</v>
      </c>
      <c r="C254" s="21" t="s">
        <v>46</v>
      </c>
      <c r="D254" s="24">
        <v>1</v>
      </c>
      <c r="E254" s="27" t="s">
        <v>342</v>
      </c>
    </row>
    <row r="255" spans="1:5" x14ac:dyDescent="0.25">
      <c r="A255" s="8" t="str">
        <f t="shared" si="4"/>
        <v>INDEC-MO - 51620-1</v>
      </c>
      <c r="B255" s="26">
        <v>51620</v>
      </c>
      <c r="C255" s="21" t="s">
        <v>46</v>
      </c>
      <c r="D255" s="24">
        <v>1</v>
      </c>
      <c r="E255" s="27" t="s">
        <v>343</v>
      </c>
    </row>
    <row r="256" spans="1:5" x14ac:dyDescent="0.25">
      <c r="A256" s="8" t="str">
        <f t="shared" si="4"/>
        <v>INDEC-MO - 51690-1</v>
      </c>
      <c r="B256" s="26">
        <v>51690</v>
      </c>
      <c r="C256" s="21" t="s">
        <v>46</v>
      </c>
      <c r="D256" s="24">
        <v>1</v>
      </c>
      <c r="E256" s="27" t="s">
        <v>344</v>
      </c>
    </row>
    <row r="257" spans="1:7" x14ac:dyDescent="0.25">
      <c r="A257" s="8" t="str">
        <f t="shared" si="4"/>
        <v>INDEC-MO - 51630-1</v>
      </c>
      <c r="B257" s="26">
        <v>51630</v>
      </c>
      <c r="C257" s="21" t="s">
        <v>46</v>
      </c>
      <c r="D257" s="24">
        <v>1</v>
      </c>
      <c r="E257" s="27" t="s">
        <v>345</v>
      </c>
    </row>
    <row r="258" spans="1:7" x14ac:dyDescent="0.25">
      <c r="A258" s="8" t="str">
        <f t="shared" si="4"/>
        <v>INDEC-MO - 51720-1</v>
      </c>
      <c r="B258" s="26">
        <v>51720</v>
      </c>
      <c r="C258" s="21" t="s">
        <v>46</v>
      </c>
      <c r="D258" s="24">
        <v>1</v>
      </c>
      <c r="E258" s="27" t="s">
        <v>346</v>
      </c>
    </row>
    <row r="259" spans="1:7" x14ac:dyDescent="0.25">
      <c r="A259" s="8" t="str">
        <f t="shared" si="4"/>
        <v>INDEC-MO - 51730-1</v>
      </c>
      <c r="B259" s="26">
        <v>51730</v>
      </c>
      <c r="C259" s="21" t="s">
        <v>46</v>
      </c>
      <c r="D259" s="24">
        <v>1</v>
      </c>
      <c r="E259" s="27" t="s">
        <v>347</v>
      </c>
    </row>
    <row r="262" spans="1:7" x14ac:dyDescent="0.25">
      <c r="A262" s="30"/>
      <c r="B262" s="6" t="s">
        <v>549</v>
      </c>
      <c r="C262" s="28"/>
      <c r="D262" s="29"/>
      <c r="E262" s="29"/>
      <c r="F262" s="29"/>
      <c r="G262" s="30"/>
    </row>
    <row r="263" spans="1:7" x14ac:dyDescent="0.25">
      <c r="A263" s="32"/>
      <c r="B263" s="28"/>
      <c r="C263" s="28"/>
      <c r="D263" s="31"/>
      <c r="E263" s="28"/>
      <c r="F263" s="28"/>
      <c r="G263" s="16"/>
    </row>
    <row r="264" spans="1:7" ht="11.25" customHeight="1" x14ac:dyDescent="0.25">
      <c r="A264" s="620" t="s">
        <v>348</v>
      </c>
      <c r="B264" s="619" t="s">
        <v>43</v>
      </c>
      <c r="C264" s="619"/>
      <c r="D264" s="619"/>
      <c r="E264" s="619" t="s">
        <v>332</v>
      </c>
      <c r="F264" s="33"/>
      <c r="G264" s="33"/>
    </row>
    <row r="265" spans="1:7" x14ac:dyDescent="0.25">
      <c r="A265" s="620"/>
      <c r="B265" s="620"/>
      <c r="C265" s="620"/>
      <c r="D265" s="620"/>
      <c r="E265" s="619"/>
      <c r="F265" s="33"/>
      <c r="G265" s="33"/>
    </row>
    <row r="266" spans="1:7" x14ac:dyDescent="0.25">
      <c r="A266" s="28"/>
      <c r="B266" s="28"/>
      <c r="C266" s="28"/>
      <c r="D266" s="29"/>
      <c r="E266" s="28"/>
      <c r="F266" s="28"/>
      <c r="G266" s="28"/>
    </row>
    <row r="267" spans="1:7" x14ac:dyDescent="0.25">
      <c r="A267" s="8" t="str">
        <f>CONCATENATE("INDEC-MO - ",B267,C267,D267)</f>
        <v>INDEC-MO - 51720-1</v>
      </c>
      <c r="B267" s="26">
        <v>51720</v>
      </c>
      <c r="C267" s="21" t="s">
        <v>46</v>
      </c>
      <c r="D267" s="24">
        <v>1</v>
      </c>
      <c r="E267" s="18" t="s">
        <v>550</v>
      </c>
      <c r="F267" s="28"/>
      <c r="G267" s="28"/>
    </row>
    <row r="268" spans="1:7" x14ac:dyDescent="0.25">
      <c r="A268" s="28"/>
      <c r="B268" s="28"/>
      <c r="C268" s="28"/>
      <c r="D268" s="29"/>
      <c r="E268" s="28"/>
      <c r="F268" s="28"/>
      <c r="G268" s="28"/>
    </row>
    <row r="271" spans="1:7" x14ac:dyDescent="0.25">
      <c r="A271" s="19"/>
      <c r="B271" s="6" t="s">
        <v>349</v>
      </c>
      <c r="C271" s="19"/>
      <c r="D271" s="20"/>
    </row>
    <row r="272" spans="1:7" x14ac:dyDescent="0.25">
      <c r="A272" s="21"/>
      <c r="B272" s="21"/>
      <c r="C272" s="21"/>
      <c r="D272" s="24"/>
    </row>
    <row r="273" spans="1:5" x14ac:dyDescent="0.25">
      <c r="A273" s="620" t="s">
        <v>348</v>
      </c>
      <c r="B273" s="619" t="s">
        <v>43</v>
      </c>
      <c r="C273" s="619"/>
      <c r="D273" s="619"/>
      <c r="E273" s="619" t="s">
        <v>350</v>
      </c>
    </row>
    <row r="274" spans="1:5" x14ac:dyDescent="0.25">
      <c r="A274" s="620"/>
      <c r="B274" s="619" t="s">
        <v>45</v>
      </c>
      <c r="C274" s="619"/>
      <c r="D274" s="619"/>
      <c r="E274" s="619"/>
    </row>
    <row r="275" spans="1:5" x14ac:dyDescent="0.25">
      <c r="B275" s="21"/>
      <c r="C275" s="21"/>
      <c r="D275" s="24"/>
      <c r="E275" s="34"/>
    </row>
    <row r="276" spans="1:5" x14ac:dyDescent="0.25">
      <c r="A276" s="8" t="str">
        <f t="shared" ref="A276:A283" si="5">CONCATENATE("INDEC-EC - ",B276,C276,D276)</f>
        <v>INDEC-EC - 43520-11</v>
      </c>
      <c r="B276" s="27">
        <v>43520</v>
      </c>
      <c r="C276" s="27" t="s">
        <v>46</v>
      </c>
      <c r="D276" s="24">
        <v>11</v>
      </c>
      <c r="E276" s="27" t="s">
        <v>351</v>
      </c>
    </row>
    <row r="277" spans="1:5" x14ac:dyDescent="0.25">
      <c r="A277" s="8" t="str">
        <f t="shared" si="5"/>
        <v>INDEC-EC - 44440-2</v>
      </c>
      <c r="B277" s="27">
        <v>44440</v>
      </c>
      <c r="C277" s="27" t="s">
        <v>46</v>
      </c>
      <c r="D277" s="24">
        <v>2</v>
      </c>
      <c r="E277" s="27" t="s">
        <v>352</v>
      </c>
    </row>
    <row r="278" spans="1:5" x14ac:dyDescent="0.25">
      <c r="A278" s="8" t="str">
        <f t="shared" si="5"/>
        <v>INDEC-EC - 44221-11</v>
      </c>
      <c r="B278" s="27">
        <v>44221</v>
      </c>
      <c r="C278" s="27" t="s">
        <v>46</v>
      </c>
      <c r="D278" s="24">
        <v>11</v>
      </c>
      <c r="E278" s="27" t="s">
        <v>353</v>
      </c>
    </row>
    <row r="279" spans="1:5" x14ac:dyDescent="0.25">
      <c r="A279" s="8" t="str">
        <f t="shared" si="5"/>
        <v>INDEC-EC - 44221-12</v>
      </c>
      <c r="B279" s="27">
        <v>44221</v>
      </c>
      <c r="C279" s="27" t="s">
        <v>46</v>
      </c>
      <c r="D279" s="24">
        <v>12</v>
      </c>
      <c r="E279" s="27" t="s">
        <v>354</v>
      </c>
    </row>
    <row r="280" spans="1:5" x14ac:dyDescent="0.25">
      <c r="A280" s="8" t="str">
        <f t="shared" si="5"/>
        <v>INDEC-EC - 43520-21</v>
      </c>
      <c r="B280" s="27">
        <v>43520</v>
      </c>
      <c r="C280" s="27" t="s">
        <v>46</v>
      </c>
      <c r="D280" s="24">
        <v>21</v>
      </c>
      <c r="E280" s="27" t="s">
        <v>355</v>
      </c>
    </row>
    <row r="281" spans="1:5" x14ac:dyDescent="0.25">
      <c r="A281" s="8" t="str">
        <f t="shared" si="5"/>
        <v>INDEC-EC - 44231-21</v>
      </c>
      <c r="B281" s="27">
        <v>44231</v>
      </c>
      <c r="C281" s="27" t="s">
        <v>46</v>
      </c>
      <c r="D281" s="24">
        <v>21</v>
      </c>
      <c r="E281" s="27" t="s">
        <v>356</v>
      </c>
    </row>
    <row r="282" spans="1:5" x14ac:dyDescent="0.25">
      <c r="A282" s="8" t="str">
        <f t="shared" si="5"/>
        <v>INDEC-EC - 44440-11</v>
      </c>
      <c r="B282" s="27">
        <v>44440</v>
      </c>
      <c r="C282" s="27" t="s">
        <v>46</v>
      </c>
      <c r="D282" s="24">
        <v>11</v>
      </c>
      <c r="E282" s="27" t="s">
        <v>357</v>
      </c>
    </row>
    <row r="283" spans="1:5" x14ac:dyDescent="0.25">
      <c r="A283" s="8" t="str">
        <f t="shared" si="5"/>
        <v>INDEC-EC - 44231-11</v>
      </c>
      <c r="B283" s="27">
        <v>44231</v>
      </c>
      <c r="C283" s="27" t="s">
        <v>46</v>
      </c>
      <c r="D283" s="24">
        <v>11</v>
      </c>
      <c r="E283" s="27" t="s">
        <v>358</v>
      </c>
    </row>
    <row r="286" spans="1:5" x14ac:dyDescent="0.25">
      <c r="A286" s="19"/>
      <c r="B286" s="6" t="s">
        <v>359</v>
      </c>
      <c r="C286" s="19"/>
      <c r="D286" s="20"/>
    </row>
    <row r="287" spans="1:5" x14ac:dyDescent="0.25">
      <c r="A287" s="21"/>
      <c r="B287" s="21"/>
      <c r="C287" s="21"/>
      <c r="D287" s="24"/>
    </row>
    <row r="288" spans="1:5" x14ac:dyDescent="0.25">
      <c r="A288" s="620" t="s">
        <v>348</v>
      </c>
      <c r="B288" s="619" t="s">
        <v>43</v>
      </c>
      <c r="C288" s="619"/>
      <c r="D288" s="619"/>
      <c r="E288" s="619" t="s">
        <v>360</v>
      </c>
    </row>
    <row r="289" spans="1:7" x14ac:dyDescent="0.25">
      <c r="A289" s="620"/>
      <c r="B289" s="619" t="s">
        <v>45</v>
      </c>
      <c r="C289" s="619"/>
      <c r="D289" s="619"/>
      <c r="E289" s="619"/>
    </row>
    <row r="290" spans="1:7" x14ac:dyDescent="0.25">
      <c r="B290" s="21"/>
      <c r="C290" s="21"/>
      <c r="D290" s="24"/>
      <c r="E290" s="34"/>
    </row>
    <row r="291" spans="1:7" x14ac:dyDescent="0.25">
      <c r="A291" s="8" t="str">
        <f t="shared" ref="A291:A298" si="6">CONCATENATE("INDEC-SA - ",B291,C291,D291)</f>
        <v>INDEC-SA - 83107-1</v>
      </c>
      <c r="B291" s="21">
        <v>83107</v>
      </c>
      <c r="C291" s="21" t="s">
        <v>46</v>
      </c>
      <c r="D291" s="24">
        <v>1</v>
      </c>
      <c r="E291" s="21" t="s">
        <v>361</v>
      </c>
    </row>
    <row r="292" spans="1:7" ht="11.4" x14ac:dyDescent="0.25">
      <c r="A292" s="8" t="str">
        <f t="shared" si="6"/>
        <v>INDEC-SA - 71240-21</v>
      </c>
      <c r="B292" s="21">
        <v>71240</v>
      </c>
      <c r="C292" s="21" t="s">
        <v>46</v>
      </c>
      <c r="D292" s="24">
        <v>21</v>
      </c>
      <c r="E292" s="21" t="s">
        <v>362</v>
      </c>
    </row>
    <row r="293" spans="1:7" ht="11.4" x14ac:dyDescent="0.25">
      <c r="A293" s="8" t="str">
        <f t="shared" si="6"/>
        <v>INDEC-SA - 71240-31</v>
      </c>
      <c r="B293" s="21">
        <v>71240</v>
      </c>
      <c r="C293" s="21" t="s">
        <v>46</v>
      </c>
      <c r="D293" s="24">
        <v>31</v>
      </c>
      <c r="E293" s="21" t="s">
        <v>363</v>
      </c>
    </row>
    <row r="294" spans="1:7" x14ac:dyDescent="0.25">
      <c r="A294" s="8" t="str">
        <f t="shared" si="6"/>
        <v>INDEC-SA - 71240-11</v>
      </c>
      <c r="B294" s="21">
        <v>71240</v>
      </c>
      <c r="C294" s="21" t="s">
        <v>46</v>
      </c>
      <c r="D294" s="24">
        <v>11</v>
      </c>
      <c r="E294" s="21" t="s">
        <v>364</v>
      </c>
    </row>
    <row r="295" spans="1:7" x14ac:dyDescent="0.25">
      <c r="A295" s="8" t="str">
        <f t="shared" si="6"/>
        <v>INDEC-SA - 74110-11</v>
      </c>
      <c r="B295" s="21">
        <v>74110</v>
      </c>
      <c r="C295" s="21" t="s">
        <v>46</v>
      </c>
      <c r="D295" s="24">
        <v>11</v>
      </c>
      <c r="E295" s="21" t="s">
        <v>365</v>
      </c>
    </row>
    <row r="296" spans="1:7" x14ac:dyDescent="0.25">
      <c r="A296" s="8" t="str">
        <f t="shared" si="6"/>
        <v>INDEC-SA - 71233-11</v>
      </c>
      <c r="B296" s="21">
        <v>71233</v>
      </c>
      <c r="C296" s="21" t="s">
        <v>46</v>
      </c>
      <c r="D296" s="24">
        <v>11</v>
      </c>
      <c r="E296" s="21" t="s">
        <v>366</v>
      </c>
    </row>
    <row r="297" spans="1:7" x14ac:dyDescent="0.25">
      <c r="A297" s="8" t="str">
        <f t="shared" si="6"/>
        <v>INDEC-SA - 51800-11</v>
      </c>
      <c r="B297" s="21">
        <v>51800</v>
      </c>
      <c r="C297" s="21" t="s">
        <v>46</v>
      </c>
      <c r="D297" s="24">
        <v>11</v>
      </c>
      <c r="E297" s="35" t="s">
        <v>367</v>
      </c>
    </row>
    <row r="298" spans="1:7" x14ac:dyDescent="0.25">
      <c r="A298" s="8" t="str">
        <f t="shared" si="6"/>
        <v>INDEC-SA - 51800-21</v>
      </c>
      <c r="B298" s="21">
        <v>51800</v>
      </c>
      <c r="C298" s="21" t="s">
        <v>46</v>
      </c>
      <c r="D298" s="24">
        <v>21</v>
      </c>
      <c r="E298" s="21" t="s">
        <v>368</v>
      </c>
    </row>
    <row r="301" spans="1:7" x14ac:dyDescent="0.25">
      <c r="A301" s="36"/>
      <c r="B301" s="6" t="s">
        <v>508</v>
      </c>
      <c r="C301" s="36"/>
      <c r="D301" s="37"/>
      <c r="E301" s="36"/>
      <c r="F301" s="36"/>
      <c r="G301" s="36"/>
    </row>
    <row r="303" spans="1:7" x14ac:dyDescent="0.25">
      <c r="A303" s="620" t="s">
        <v>348</v>
      </c>
      <c r="B303" s="619" t="s">
        <v>43</v>
      </c>
      <c r="C303" s="619"/>
      <c r="D303" s="619"/>
      <c r="E303" s="620" t="s">
        <v>44</v>
      </c>
    </row>
    <row r="304" spans="1:7" x14ac:dyDescent="0.25">
      <c r="A304" s="620"/>
      <c r="B304" s="619" t="s">
        <v>45</v>
      </c>
      <c r="C304" s="619"/>
      <c r="D304" s="619"/>
      <c r="E304" s="620"/>
    </row>
    <row r="305" spans="1:5" x14ac:dyDescent="0.25">
      <c r="A305" s="9"/>
      <c r="B305" s="34"/>
      <c r="C305" s="34"/>
      <c r="D305" s="34"/>
      <c r="E305" s="9"/>
    </row>
    <row r="306" spans="1:5" x14ac:dyDescent="0.25">
      <c r="A306" s="8" t="str">
        <f t="shared" ref="A306:A337" si="7">CONCATENATE("INDEC-PB - ",B306,C306,D306)</f>
        <v>INDEC-PB - 42120-1</v>
      </c>
      <c r="B306" s="8">
        <v>42120</v>
      </c>
      <c r="C306" s="10" t="s">
        <v>46</v>
      </c>
      <c r="D306" s="8">
        <v>1</v>
      </c>
      <c r="E306" s="38" t="s">
        <v>369</v>
      </c>
    </row>
    <row r="307" spans="1:5" x14ac:dyDescent="0.25">
      <c r="A307" s="8" t="str">
        <f t="shared" si="7"/>
        <v>INDEC-PB - 42120-2</v>
      </c>
      <c r="B307" s="8">
        <v>42120</v>
      </c>
      <c r="C307" s="10" t="s">
        <v>46</v>
      </c>
      <c r="D307" s="8">
        <v>2</v>
      </c>
      <c r="E307" s="38" t="s">
        <v>370</v>
      </c>
    </row>
    <row r="308" spans="1:5" x14ac:dyDescent="0.25">
      <c r="A308" s="8" t="str">
        <f t="shared" si="7"/>
        <v>INDEC-PB - 37910-1</v>
      </c>
      <c r="B308" s="8">
        <v>37910</v>
      </c>
      <c r="C308" s="10" t="s">
        <v>46</v>
      </c>
      <c r="D308" s="8">
        <v>1</v>
      </c>
      <c r="E308" s="38" t="s">
        <v>371</v>
      </c>
    </row>
    <row r="309" spans="1:5" x14ac:dyDescent="0.25">
      <c r="A309" s="8" t="str">
        <f t="shared" si="7"/>
        <v>INDEC-PB - 42921-4</v>
      </c>
      <c r="B309" s="8">
        <v>42921</v>
      </c>
      <c r="C309" s="10" t="s">
        <v>46</v>
      </c>
      <c r="D309" s="8">
        <v>4</v>
      </c>
      <c r="E309" s="38" t="s">
        <v>372</v>
      </c>
    </row>
    <row r="310" spans="1:5" x14ac:dyDescent="0.25">
      <c r="A310" s="8" t="str">
        <f t="shared" si="7"/>
        <v>INDEC-PB - 44251-1</v>
      </c>
      <c r="B310" s="8">
        <v>44251</v>
      </c>
      <c r="C310" s="10" t="s">
        <v>46</v>
      </c>
      <c r="D310" s="8">
        <v>1</v>
      </c>
      <c r="E310" s="38" t="s">
        <v>373</v>
      </c>
    </row>
    <row r="311" spans="1:5" x14ac:dyDescent="0.25">
      <c r="A311" s="8" t="str">
        <f t="shared" si="7"/>
        <v>INDEC-PB - 42922-1</v>
      </c>
      <c r="B311" s="8">
        <v>42922</v>
      </c>
      <c r="C311" s="10" t="s">
        <v>46</v>
      </c>
      <c r="D311" s="8">
        <v>1</v>
      </c>
      <c r="E311" s="38" t="s">
        <v>374</v>
      </c>
    </row>
    <row r="312" spans="1:5" x14ac:dyDescent="0.25">
      <c r="A312" s="8" t="str">
        <f t="shared" si="7"/>
        <v>INDEC-PB - 33380-1</v>
      </c>
      <c r="B312" s="8">
        <v>33380</v>
      </c>
      <c r="C312" s="10" t="s">
        <v>46</v>
      </c>
      <c r="D312" s="8">
        <v>1</v>
      </c>
      <c r="E312" s="38" t="s">
        <v>375</v>
      </c>
    </row>
    <row r="313" spans="1:5" x14ac:dyDescent="0.25">
      <c r="A313" s="8" t="str">
        <f t="shared" si="7"/>
        <v>INDEC-PB - 49229-1</v>
      </c>
      <c r="B313" s="8">
        <v>49229</v>
      </c>
      <c r="C313" s="10" t="s">
        <v>46</v>
      </c>
      <c r="D313" s="8">
        <v>1</v>
      </c>
      <c r="E313" s="38" t="s">
        <v>376</v>
      </c>
    </row>
    <row r="314" spans="1:5" x14ac:dyDescent="0.25">
      <c r="A314" s="8" t="str">
        <f t="shared" si="7"/>
        <v>INDEC-PB - 46420-1</v>
      </c>
      <c r="B314" s="8">
        <v>46420</v>
      </c>
      <c r="C314" s="10" t="s">
        <v>46</v>
      </c>
      <c r="D314" s="8">
        <v>1</v>
      </c>
      <c r="E314" s="38" t="s">
        <v>377</v>
      </c>
    </row>
    <row r="315" spans="1:5" x14ac:dyDescent="0.25">
      <c r="A315" s="8" t="str">
        <f t="shared" si="7"/>
        <v>INDEC-PB - 41263-1</v>
      </c>
      <c r="B315" s="8">
        <v>41263</v>
      </c>
      <c r="C315" s="10" t="s">
        <v>46</v>
      </c>
      <c r="D315" s="8">
        <v>1</v>
      </c>
      <c r="E315" s="38" t="s">
        <v>378</v>
      </c>
    </row>
    <row r="316" spans="1:5" x14ac:dyDescent="0.25">
      <c r="A316" s="8" t="str">
        <f t="shared" si="7"/>
        <v>INDEC-PB - 41241-1</v>
      </c>
      <c r="B316" s="8">
        <v>41241</v>
      </c>
      <c r="C316" s="10" t="s">
        <v>46</v>
      </c>
      <c r="D316" s="8">
        <v>1</v>
      </c>
      <c r="E316" s="38" t="s">
        <v>379</v>
      </c>
    </row>
    <row r="317" spans="1:5" x14ac:dyDescent="0.25">
      <c r="A317" s="8" t="str">
        <f t="shared" si="7"/>
        <v>INDEC-PB - 44216-1</v>
      </c>
      <c r="B317" s="8">
        <v>44216</v>
      </c>
      <c r="C317" s="10" t="s">
        <v>46</v>
      </c>
      <c r="D317" s="8">
        <v>1</v>
      </c>
      <c r="E317" s="38" t="s">
        <v>380</v>
      </c>
    </row>
    <row r="318" spans="1:5" x14ac:dyDescent="0.25">
      <c r="A318" s="8" t="str">
        <f t="shared" si="7"/>
        <v>INDEC-PB - 15400-1</v>
      </c>
      <c r="B318" s="8">
        <v>15400</v>
      </c>
      <c r="C318" s="10" t="s">
        <v>46</v>
      </c>
      <c r="D318" s="8">
        <v>1</v>
      </c>
      <c r="E318" s="38" t="s">
        <v>381</v>
      </c>
    </row>
    <row r="319" spans="1:5" x14ac:dyDescent="0.25">
      <c r="A319" s="8" t="str">
        <f t="shared" si="7"/>
        <v>INDEC-PB - 15310-1</v>
      </c>
      <c r="B319" s="8">
        <v>15310</v>
      </c>
      <c r="C319" s="10" t="s">
        <v>46</v>
      </c>
      <c r="D319" s="8">
        <v>1</v>
      </c>
      <c r="E319" s="38" t="s">
        <v>382</v>
      </c>
    </row>
    <row r="320" spans="1:5" x14ac:dyDescent="0.25">
      <c r="A320" s="8" t="str">
        <f t="shared" si="7"/>
        <v>INDEC-PB - 37210-1</v>
      </c>
      <c r="B320" s="8">
        <v>37210</v>
      </c>
      <c r="C320" s="10" t="s">
        <v>46</v>
      </c>
      <c r="D320" s="8">
        <v>1</v>
      </c>
      <c r="E320" s="38" t="s">
        <v>383</v>
      </c>
    </row>
    <row r="321" spans="1:5" x14ac:dyDescent="0.25">
      <c r="A321" s="8" t="str">
        <f t="shared" si="7"/>
        <v>INDEC-PB - 37540-2</v>
      </c>
      <c r="B321" s="8">
        <v>37540</v>
      </c>
      <c r="C321" s="10" t="s">
        <v>46</v>
      </c>
      <c r="D321" s="8">
        <v>2</v>
      </c>
      <c r="E321" s="38" t="s">
        <v>384</v>
      </c>
    </row>
    <row r="322" spans="1:5" x14ac:dyDescent="0.25">
      <c r="A322" s="8" t="str">
        <f t="shared" si="7"/>
        <v>INDEC-PB - 49113-1</v>
      </c>
      <c r="B322" s="8">
        <v>49113</v>
      </c>
      <c r="C322" s="10" t="s">
        <v>46</v>
      </c>
      <c r="D322" s="8">
        <v>1</v>
      </c>
      <c r="E322" s="38" t="s">
        <v>385</v>
      </c>
    </row>
    <row r="323" spans="1:5" x14ac:dyDescent="0.25">
      <c r="A323" s="8" t="str">
        <f t="shared" si="7"/>
        <v>INDEC-PB - 36270-1</v>
      </c>
      <c r="B323" s="8">
        <v>36270</v>
      </c>
      <c r="C323" s="10" t="s">
        <v>46</v>
      </c>
      <c r="D323" s="8">
        <v>1</v>
      </c>
      <c r="E323" s="38" t="s">
        <v>386</v>
      </c>
    </row>
    <row r="324" spans="1:5" x14ac:dyDescent="0.25">
      <c r="A324" s="8" t="str">
        <f t="shared" si="7"/>
        <v>INDEC-PB - 46539-1</v>
      </c>
      <c r="B324" s="8">
        <v>46539</v>
      </c>
      <c r="C324" s="10" t="s">
        <v>46</v>
      </c>
      <c r="D324" s="8">
        <v>1</v>
      </c>
      <c r="E324" s="38" t="s">
        <v>387</v>
      </c>
    </row>
    <row r="325" spans="1:5" x14ac:dyDescent="0.25">
      <c r="A325" s="8" t="str">
        <f t="shared" si="7"/>
        <v>INDEC-PB - 37370-1</v>
      </c>
      <c r="B325" s="8">
        <v>37370</v>
      </c>
      <c r="C325" s="10" t="s">
        <v>46</v>
      </c>
      <c r="D325" s="8">
        <v>1</v>
      </c>
      <c r="E325" s="38" t="s">
        <v>388</v>
      </c>
    </row>
    <row r="326" spans="1:5" x14ac:dyDescent="0.25">
      <c r="A326" s="8" t="str">
        <f t="shared" si="7"/>
        <v>INDEC-PB - 35110-4</v>
      </c>
      <c r="B326" s="8">
        <v>35110</v>
      </c>
      <c r="C326" s="10" t="s">
        <v>46</v>
      </c>
      <c r="D326" s="8">
        <v>4</v>
      </c>
      <c r="E326" s="38" t="s">
        <v>389</v>
      </c>
    </row>
    <row r="327" spans="1:5" x14ac:dyDescent="0.25">
      <c r="A327" s="8" t="str">
        <f t="shared" si="7"/>
        <v>INDEC-PB - 41261-1</v>
      </c>
      <c r="B327" s="8">
        <v>41261</v>
      </c>
      <c r="C327" s="10" t="s">
        <v>46</v>
      </c>
      <c r="D327" s="8">
        <v>1</v>
      </c>
      <c r="E327" s="38" t="s">
        <v>390</v>
      </c>
    </row>
    <row r="328" spans="1:5" x14ac:dyDescent="0.25">
      <c r="A328" s="8" t="str">
        <f t="shared" si="7"/>
        <v>INDEC-PB - 36490-6</v>
      </c>
      <c r="B328" s="8">
        <v>36490</v>
      </c>
      <c r="C328" s="10" t="s">
        <v>46</v>
      </c>
      <c r="D328" s="8">
        <v>6</v>
      </c>
      <c r="E328" s="38" t="s">
        <v>391</v>
      </c>
    </row>
    <row r="329" spans="1:5" x14ac:dyDescent="0.25">
      <c r="A329" s="8" t="str">
        <f t="shared" si="7"/>
        <v>INDEC-PB - 42944-1</v>
      </c>
      <c r="B329" s="8">
        <v>42944</v>
      </c>
      <c r="C329" s="10" t="s">
        <v>46</v>
      </c>
      <c r="D329" s="8">
        <v>1</v>
      </c>
      <c r="E329" s="38" t="s">
        <v>392</v>
      </c>
    </row>
    <row r="330" spans="1:5" x14ac:dyDescent="0.25">
      <c r="A330" s="8" t="str">
        <f t="shared" si="7"/>
        <v>INDEC-PB - 42320-1</v>
      </c>
      <c r="B330" s="8">
        <v>42320</v>
      </c>
      <c r="C330" s="10" t="s">
        <v>46</v>
      </c>
      <c r="D330" s="8">
        <v>1</v>
      </c>
      <c r="E330" s="38" t="s">
        <v>393</v>
      </c>
    </row>
    <row r="331" spans="1:5" x14ac:dyDescent="0.25">
      <c r="A331" s="8" t="str">
        <f t="shared" si="7"/>
        <v>INDEC-PB - 37420-1</v>
      </c>
      <c r="B331" s="8">
        <v>37420</v>
      </c>
      <c r="C331" s="10" t="s">
        <v>46</v>
      </c>
      <c r="D331" s="8">
        <v>1</v>
      </c>
      <c r="E331" s="38" t="s">
        <v>394</v>
      </c>
    </row>
    <row r="332" spans="1:5" x14ac:dyDescent="0.25">
      <c r="A332" s="8" t="str">
        <f t="shared" si="7"/>
        <v>INDEC-PB - 49115-2</v>
      </c>
      <c r="B332" s="8">
        <v>49115</v>
      </c>
      <c r="C332" s="10" t="s">
        <v>46</v>
      </c>
      <c r="D332" s="8">
        <v>2</v>
      </c>
      <c r="E332" s="38" t="s">
        <v>395</v>
      </c>
    </row>
    <row r="333" spans="1:5" x14ac:dyDescent="0.25">
      <c r="A333" s="8" t="str">
        <f t="shared" si="7"/>
        <v>INDEC-PB - 36320-3</v>
      </c>
      <c r="B333" s="8">
        <v>36320</v>
      </c>
      <c r="C333" s="10" t="s">
        <v>46</v>
      </c>
      <c r="D333" s="8">
        <v>3</v>
      </c>
      <c r="E333" s="38" t="s">
        <v>396</v>
      </c>
    </row>
    <row r="334" spans="1:5" x14ac:dyDescent="0.25">
      <c r="A334" s="8" t="str">
        <f t="shared" si="7"/>
        <v>INDEC-PB - 36320-2</v>
      </c>
      <c r="B334" s="8">
        <v>36320</v>
      </c>
      <c r="C334" s="10" t="s">
        <v>46</v>
      </c>
      <c r="D334" s="8">
        <v>2</v>
      </c>
      <c r="E334" s="38" t="s">
        <v>397</v>
      </c>
    </row>
    <row r="335" spans="1:5" x14ac:dyDescent="0.25">
      <c r="A335" s="8" t="str">
        <f t="shared" si="7"/>
        <v>INDEC-PB - 36320-1</v>
      </c>
      <c r="B335" s="8">
        <v>36320</v>
      </c>
      <c r="C335" s="10" t="s">
        <v>46</v>
      </c>
      <c r="D335" s="8">
        <v>1</v>
      </c>
      <c r="E335" s="38" t="s">
        <v>398</v>
      </c>
    </row>
    <row r="336" spans="1:5" x14ac:dyDescent="0.25">
      <c r="A336" s="8" t="str">
        <f t="shared" si="7"/>
        <v>INDEC-PB - 46220-1</v>
      </c>
      <c r="B336" s="8">
        <v>46220</v>
      </c>
      <c r="C336" s="10" t="s">
        <v>46</v>
      </c>
      <c r="D336" s="8">
        <v>1</v>
      </c>
      <c r="E336" s="38" t="s">
        <v>399</v>
      </c>
    </row>
    <row r="337" spans="1:5" x14ac:dyDescent="0.25">
      <c r="A337" s="8" t="str">
        <f t="shared" si="7"/>
        <v>INDEC-PB - 34800-1</v>
      </c>
      <c r="B337" s="8">
        <v>34800</v>
      </c>
      <c r="C337" s="10" t="s">
        <v>46</v>
      </c>
      <c r="D337" s="8">
        <v>1</v>
      </c>
      <c r="E337" s="38" t="s">
        <v>400</v>
      </c>
    </row>
    <row r="338" spans="1:5" x14ac:dyDescent="0.25">
      <c r="A338" s="8" t="str">
        <f t="shared" ref="A338:A369" si="8">CONCATENATE("INDEC-PB - ",B338,C338,D338)</f>
        <v>INDEC-PB - 37440-1</v>
      </c>
      <c r="B338" s="8">
        <v>37440</v>
      </c>
      <c r="C338" s="10" t="s">
        <v>46</v>
      </c>
      <c r="D338" s="8">
        <v>1</v>
      </c>
      <c r="E338" s="38" t="s">
        <v>401</v>
      </c>
    </row>
    <row r="339" spans="1:5" x14ac:dyDescent="0.25">
      <c r="A339" s="8" t="str">
        <f t="shared" si="8"/>
        <v>INDEC-PB - 42992-1</v>
      </c>
      <c r="B339" s="8">
        <v>42992</v>
      </c>
      <c r="C339" s="10" t="s">
        <v>46</v>
      </c>
      <c r="D339" s="8">
        <v>1</v>
      </c>
      <c r="E339" s="38" t="s">
        <v>402</v>
      </c>
    </row>
    <row r="340" spans="1:5" x14ac:dyDescent="0.25">
      <c r="A340" s="8" t="str">
        <f t="shared" si="8"/>
        <v>INDEC-PB - 42999-2</v>
      </c>
      <c r="B340" s="8">
        <v>42999</v>
      </c>
      <c r="C340" s="10" t="s">
        <v>46</v>
      </c>
      <c r="D340" s="8">
        <v>2</v>
      </c>
      <c r="E340" s="38" t="s">
        <v>403</v>
      </c>
    </row>
    <row r="341" spans="1:5" x14ac:dyDescent="0.25">
      <c r="A341" s="8" t="str">
        <f t="shared" si="8"/>
        <v>INDEC-PB - 42944-2</v>
      </c>
      <c r="B341" s="8">
        <v>42944</v>
      </c>
      <c r="C341" s="10" t="s">
        <v>46</v>
      </c>
      <c r="D341" s="8">
        <v>2</v>
      </c>
      <c r="E341" s="38" t="s">
        <v>404</v>
      </c>
    </row>
    <row r="342" spans="1:5" x14ac:dyDescent="0.25">
      <c r="A342" s="8" t="str">
        <f t="shared" si="8"/>
        <v>INDEC-PB - 43230-1</v>
      </c>
      <c r="B342" s="8">
        <v>43230</v>
      </c>
      <c r="C342" s="10" t="s">
        <v>46</v>
      </c>
      <c r="D342" s="8">
        <v>1</v>
      </c>
      <c r="E342" s="38" t="s">
        <v>405</v>
      </c>
    </row>
    <row r="343" spans="1:5" x14ac:dyDescent="0.25">
      <c r="A343" s="8" t="str">
        <f t="shared" si="8"/>
        <v>INDEC-PB - 46340-1</v>
      </c>
      <c r="B343" s="8">
        <v>46340</v>
      </c>
      <c r="C343" s="10" t="s">
        <v>46</v>
      </c>
      <c r="D343" s="8">
        <v>1</v>
      </c>
      <c r="E343" s="38" t="s">
        <v>406</v>
      </c>
    </row>
    <row r="344" spans="1:5" x14ac:dyDescent="0.25">
      <c r="A344" s="8" t="str">
        <f t="shared" si="8"/>
        <v>INDEC-PB - 36270-2</v>
      </c>
      <c r="B344" s="8">
        <v>36270</v>
      </c>
      <c r="C344" s="10" t="s">
        <v>46</v>
      </c>
      <c r="D344" s="8">
        <v>2</v>
      </c>
      <c r="E344" s="38" t="s">
        <v>407</v>
      </c>
    </row>
    <row r="345" spans="1:5" x14ac:dyDescent="0.25">
      <c r="A345" s="8" t="str">
        <f t="shared" si="8"/>
        <v>INDEC-PB - 42190-2</v>
      </c>
      <c r="B345" s="8">
        <v>42190</v>
      </c>
      <c r="C345" s="10" t="s">
        <v>46</v>
      </c>
      <c r="D345" s="8">
        <v>2</v>
      </c>
      <c r="E345" s="38" t="s">
        <v>408</v>
      </c>
    </row>
    <row r="346" spans="1:5" x14ac:dyDescent="0.25">
      <c r="A346" s="8" t="str">
        <f t="shared" si="8"/>
        <v>INDEC-PB - 36990-2</v>
      </c>
      <c r="B346" s="8">
        <v>36990</v>
      </c>
      <c r="C346" s="10" t="s">
        <v>46</v>
      </c>
      <c r="D346" s="8">
        <v>2</v>
      </c>
      <c r="E346" s="38" t="s">
        <v>409</v>
      </c>
    </row>
    <row r="347" spans="1:5" x14ac:dyDescent="0.25">
      <c r="A347" s="8" t="str">
        <f t="shared" si="8"/>
        <v>INDEC-PB - 31600-1</v>
      </c>
      <c r="B347" s="8">
        <v>31600</v>
      </c>
      <c r="C347" s="10" t="s">
        <v>46</v>
      </c>
      <c r="D347" s="8">
        <v>1</v>
      </c>
      <c r="E347" s="38" t="s">
        <v>410</v>
      </c>
    </row>
    <row r="348" spans="1:5" x14ac:dyDescent="0.25">
      <c r="A348" s="8" t="str">
        <f t="shared" si="8"/>
        <v>INDEC-PB - 32600-1</v>
      </c>
      <c r="B348" s="8">
        <v>32600</v>
      </c>
      <c r="C348" s="10" t="s">
        <v>46</v>
      </c>
      <c r="D348" s="8">
        <v>1</v>
      </c>
      <c r="E348" s="38" t="s">
        <v>411</v>
      </c>
    </row>
    <row r="349" spans="1:5" x14ac:dyDescent="0.25">
      <c r="A349" s="8" t="str">
        <f t="shared" si="8"/>
        <v>INDEC-PB - 36111-3</v>
      </c>
      <c r="B349" s="8">
        <v>36111</v>
      </c>
      <c r="C349" s="10" t="s">
        <v>46</v>
      </c>
      <c r="D349" s="8">
        <v>3</v>
      </c>
      <c r="E349" s="38" t="s">
        <v>412</v>
      </c>
    </row>
    <row r="350" spans="1:5" x14ac:dyDescent="0.25">
      <c r="A350" s="8" t="str">
        <f t="shared" si="8"/>
        <v>INDEC-PB - 36111-2</v>
      </c>
      <c r="B350" s="8">
        <v>36111</v>
      </c>
      <c r="C350" s="10" t="s">
        <v>46</v>
      </c>
      <c r="D350" s="8">
        <v>2</v>
      </c>
      <c r="E350" s="38" t="s">
        <v>413</v>
      </c>
    </row>
    <row r="351" spans="1:5" x14ac:dyDescent="0.25">
      <c r="A351" s="8" t="str">
        <f t="shared" si="8"/>
        <v>INDEC-PB - 36111-1</v>
      </c>
      <c r="B351" s="8">
        <v>36111</v>
      </c>
      <c r="C351" s="10" t="s">
        <v>46</v>
      </c>
      <c r="D351" s="8">
        <v>1</v>
      </c>
      <c r="E351" s="38" t="s">
        <v>414</v>
      </c>
    </row>
    <row r="352" spans="1:5" x14ac:dyDescent="0.25">
      <c r="A352" s="8" t="str">
        <f t="shared" si="8"/>
        <v>INDEC-PB - 42921-1</v>
      </c>
      <c r="B352" s="8">
        <v>42921</v>
      </c>
      <c r="C352" s="10" t="s">
        <v>46</v>
      </c>
      <c r="D352" s="8">
        <v>1</v>
      </c>
      <c r="E352" s="38" t="s">
        <v>415</v>
      </c>
    </row>
    <row r="353" spans="1:5" x14ac:dyDescent="0.25">
      <c r="A353" s="8" t="str">
        <f t="shared" si="8"/>
        <v>INDEC-PB - 34800-2</v>
      </c>
      <c r="B353" s="8">
        <v>34800</v>
      </c>
      <c r="C353" s="10" t="s">
        <v>46</v>
      </c>
      <c r="D353" s="8">
        <v>2</v>
      </c>
      <c r="E353" s="38" t="s">
        <v>416</v>
      </c>
    </row>
    <row r="354" spans="1:5" x14ac:dyDescent="0.25">
      <c r="A354" s="8" t="str">
        <f t="shared" si="8"/>
        <v>INDEC-PB - 49129-1</v>
      </c>
      <c r="B354" s="8">
        <v>49129</v>
      </c>
      <c r="C354" s="10" t="s">
        <v>46</v>
      </c>
      <c r="D354" s="8">
        <v>1</v>
      </c>
      <c r="E354" s="38" t="s">
        <v>417</v>
      </c>
    </row>
    <row r="355" spans="1:5" x14ac:dyDescent="0.25">
      <c r="A355" s="8" t="str">
        <f t="shared" si="8"/>
        <v>INDEC-PB - 43220-1</v>
      </c>
      <c r="B355" s="8">
        <v>43220</v>
      </c>
      <c r="C355" s="10" t="s">
        <v>46</v>
      </c>
      <c r="D355" s="8">
        <v>1</v>
      </c>
      <c r="E355" s="38" t="s">
        <v>418</v>
      </c>
    </row>
    <row r="356" spans="1:5" x14ac:dyDescent="0.25">
      <c r="A356" s="8" t="str">
        <f t="shared" si="8"/>
        <v>INDEC-PB - 35110-1</v>
      </c>
      <c r="B356" s="8">
        <v>35110</v>
      </c>
      <c r="C356" s="10" t="s">
        <v>46</v>
      </c>
      <c r="D356" s="8">
        <v>1</v>
      </c>
      <c r="E356" s="38" t="s">
        <v>419</v>
      </c>
    </row>
    <row r="357" spans="1:5" x14ac:dyDescent="0.25">
      <c r="A357" s="8" t="str">
        <f t="shared" si="8"/>
        <v>INDEC-PB - 17100-1</v>
      </c>
      <c r="B357" s="8">
        <v>17100</v>
      </c>
      <c r="C357" s="10" t="s">
        <v>46</v>
      </c>
      <c r="D357" s="8">
        <v>1</v>
      </c>
      <c r="E357" s="38" t="s">
        <v>420</v>
      </c>
    </row>
    <row r="358" spans="1:5" x14ac:dyDescent="0.25">
      <c r="A358" s="8" t="str">
        <f t="shared" si="8"/>
        <v>INDEC-PB - 49129-3</v>
      </c>
      <c r="B358" s="8">
        <v>49129</v>
      </c>
      <c r="C358" s="10" t="s">
        <v>46</v>
      </c>
      <c r="D358" s="8">
        <v>3</v>
      </c>
      <c r="E358" s="38" t="s">
        <v>421</v>
      </c>
    </row>
    <row r="359" spans="1:5" x14ac:dyDescent="0.25">
      <c r="A359" s="8" t="str">
        <f t="shared" si="8"/>
        <v>INDEC-PB - 35110-2</v>
      </c>
      <c r="B359" s="8">
        <v>35110</v>
      </c>
      <c r="C359" s="10" t="s">
        <v>46</v>
      </c>
      <c r="D359" s="8">
        <v>2</v>
      </c>
      <c r="E359" s="38" t="s">
        <v>422</v>
      </c>
    </row>
    <row r="360" spans="1:5" x14ac:dyDescent="0.25">
      <c r="A360" s="8" t="str">
        <f t="shared" si="8"/>
        <v>INDEC-PB - 37129-1</v>
      </c>
      <c r="B360" s="8">
        <v>37129</v>
      </c>
      <c r="C360" s="10" t="s">
        <v>46</v>
      </c>
      <c r="D360" s="8">
        <v>1</v>
      </c>
      <c r="E360" s="38" t="s">
        <v>423</v>
      </c>
    </row>
    <row r="361" spans="1:5" x14ac:dyDescent="0.25">
      <c r="A361" s="8" t="str">
        <f t="shared" si="8"/>
        <v>INDEC-PB - 36490-4</v>
      </c>
      <c r="B361" s="8">
        <v>36490</v>
      </c>
      <c r="C361" s="10" t="s">
        <v>46</v>
      </c>
      <c r="D361" s="8">
        <v>4</v>
      </c>
      <c r="E361" s="38" t="s">
        <v>424</v>
      </c>
    </row>
    <row r="362" spans="1:5" x14ac:dyDescent="0.25">
      <c r="A362" s="8" t="str">
        <f t="shared" si="8"/>
        <v>INDEC-PB - 33370-1</v>
      </c>
      <c r="B362" s="8">
        <v>33370</v>
      </c>
      <c r="C362" s="10" t="s">
        <v>46</v>
      </c>
      <c r="D362" s="8">
        <v>1</v>
      </c>
      <c r="E362" s="38" t="s">
        <v>425</v>
      </c>
    </row>
    <row r="363" spans="1:5" x14ac:dyDescent="0.25">
      <c r="A363" s="8" t="str">
        <f t="shared" si="8"/>
        <v>INDEC-PB - 12020-1</v>
      </c>
      <c r="B363" s="8">
        <v>12020</v>
      </c>
      <c r="C363" s="10" t="s">
        <v>46</v>
      </c>
      <c r="D363" s="8">
        <v>1</v>
      </c>
      <c r="E363" s="38" t="s">
        <v>426</v>
      </c>
    </row>
    <row r="364" spans="1:5" x14ac:dyDescent="0.25">
      <c r="A364" s="8" t="str">
        <f t="shared" si="8"/>
        <v>INDEC-PB - 33360-1</v>
      </c>
      <c r="B364" s="8">
        <v>33360</v>
      </c>
      <c r="C364" s="10" t="s">
        <v>46</v>
      </c>
      <c r="D364" s="8">
        <v>1</v>
      </c>
      <c r="E364" s="38" t="s">
        <v>427</v>
      </c>
    </row>
    <row r="365" spans="1:5" x14ac:dyDescent="0.25">
      <c r="A365" s="8" t="str">
        <f t="shared" si="8"/>
        <v>INDEC-PB - 33410-1</v>
      </c>
      <c r="B365" s="8">
        <v>33410</v>
      </c>
      <c r="C365" s="10" t="s">
        <v>46</v>
      </c>
      <c r="D365" s="8">
        <v>1</v>
      </c>
      <c r="E365" s="38" t="s">
        <v>428</v>
      </c>
    </row>
    <row r="366" spans="1:5" x14ac:dyDescent="0.25">
      <c r="A366" s="8" t="str">
        <f t="shared" si="8"/>
        <v>INDEC-PB - 42911-1</v>
      </c>
      <c r="B366" s="8">
        <v>42911</v>
      </c>
      <c r="C366" s="10" t="s">
        <v>46</v>
      </c>
      <c r="D366" s="8">
        <v>1</v>
      </c>
      <c r="E366" s="38" t="s">
        <v>429</v>
      </c>
    </row>
    <row r="367" spans="1:5" x14ac:dyDescent="0.25">
      <c r="A367" s="8" t="str">
        <f t="shared" si="8"/>
        <v>INDEC-PB - 46113-1</v>
      </c>
      <c r="B367" s="8">
        <v>46113</v>
      </c>
      <c r="C367" s="10" t="s">
        <v>46</v>
      </c>
      <c r="D367" s="8">
        <v>1</v>
      </c>
      <c r="E367" s="38" t="s">
        <v>430</v>
      </c>
    </row>
    <row r="368" spans="1:5" x14ac:dyDescent="0.25">
      <c r="A368" s="8" t="str">
        <f t="shared" si="8"/>
        <v>INDEC-PB - 42921-2</v>
      </c>
      <c r="B368" s="8">
        <v>42921</v>
      </c>
      <c r="C368" s="10" t="s">
        <v>46</v>
      </c>
      <c r="D368" s="8">
        <v>2</v>
      </c>
      <c r="E368" s="38" t="s">
        <v>431</v>
      </c>
    </row>
    <row r="369" spans="1:5" x14ac:dyDescent="0.25">
      <c r="A369" s="8" t="str">
        <f t="shared" si="8"/>
        <v>INDEC-PB - 37990-1</v>
      </c>
      <c r="B369" s="8">
        <v>37990</v>
      </c>
      <c r="C369" s="10" t="s">
        <v>46</v>
      </c>
      <c r="D369" s="8">
        <v>1</v>
      </c>
      <c r="E369" s="38" t="s">
        <v>432</v>
      </c>
    </row>
    <row r="370" spans="1:5" x14ac:dyDescent="0.25">
      <c r="A370" s="8" t="str">
        <f t="shared" ref="A370:A401" si="9">CONCATENATE("INDEC-PB - ",B370,C370,D370)</f>
        <v>INDEC-PB - 41242-1</v>
      </c>
      <c r="B370" s="8">
        <v>41242</v>
      </c>
      <c r="C370" s="10" t="s">
        <v>46</v>
      </c>
      <c r="D370" s="8">
        <v>1</v>
      </c>
      <c r="E370" s="38" t="s">
        <v>433</v>
      </c>
    </row>
    <row r="371" spans="1:5" x14ac:dyDescent="0.25">
      <c r="A371" s="8" t="str">
        <f t="shared" si="9"/>
        <v>INDEC-PB - 37510-1</v>
      </c>
      <c r="B371" s="8">
        <v>37510</v>
      </c>
      <c r="C371" s="10" t="s">
        <v>46</v>
      </c>
      <c r="D371" s="8">
        <v>1</v>
      </c>
      <c r="E371" s="38" t="s">
        <v>434</v>
      </c>
    </row>
    <row r="372" spans="1:5" x14ac:dyDescent="0.25">
      <c r="A372" s="8" t="str">
        <f t="shared" si="9"/>
        <v>INDEC-PB - 44440-1</v>
      </c>
      <c r="B372" s="8">
        <v>44440</v>
      </c>
      <c r="C372" s="10" t="s">
        <v>46</v>
      </c>
      <c r="D372" s="8">
        <v>1</v>
      </c>
      <c r="E372" s="38" t="s">
        <v>435</v>
      </c>
    </row>
    <row r="373" spans="1:5" x14ac:dyDescent="0.25">
      <c r="A373" s="8" t="str">
        <f t="shared" si="9"/>
        <v>INDEC-PB - 35110-5</v>
      </c>
      <c r="B373" s="8">
        <v>35110</v>
      </c>
      <c r="C373" s="10" t="s">
        <v>46</v>
      </c>
      <c r="D373" s="8">
        <v>5</v>
      </c>
      <c r="E373" s="38" t="s">
        <v>436</v>
      </c>
    </row>
    <row r="374" spans="1:5" x14ac:dyDescent="0.25">
      <c r="A374" s="8" t="str">
        <f t="shared" si="9"/>
        <v>INDEC-PB - 46212-1</v>
      </c>
      <c r="B374" s="8">
        <v>46212</v>
      </c>
      <c r="C374" s="10" t="s">
        <v>46</v>
      </c>
      <c r="D374" s="8">
        <v>1</v>
      </c>
      <c r="E374" s="38" t="s">
        <v>437</v>
      </c>
    </row>
    <row r="375" spans="1:5" x14ac:dyDescent="0.25">
      <c r="A375" s="8" t="str">
        <f t="shared" si="9"/>
        <v>INDEC-PB - 33340-1</v>
      </c>
      <c r="B375" s="8">
        <v>33340</v>
      </c>
      <c r="C375" s="10" t="s">
        <v>46</v>
      </c>
      <c r="D375" s="8">
        <v>1</v>
      </c>
      <c r="E375" s="38" t="s">
        <v>438</v>
      </c>
    </row>
    <row r="376" spans="1:5" x14ac:dyDescent="0.25">
      <c r="A376" s="8" t="str">
        <f t="shared" si="9"/>
        <v>INDEC-PB - 37350-1</v>
      </c>
      <c r="B376" s="8">
        <v>37350</v>
      </c>
      <c r="C376" s="10" t="s">
        <v>46</v>
      </c>
      <c r="D376" s="8">
        <v>1</v>
      </c>
      <c r="E376" s="38" t="s">
        <v>439</v>
      </c>
    </row>
    <row r="377" spans="1:5" x14ac:dyDescent="0.25">
      <c r="A377" s="8" t="str">
        <f t="shared" si="9"/>
        <v>INDEC-PB - 37320-1</v>
      </c>
      <c r="B377" s="8">
        <v>37320</v>
      </c>
      <c r="C377" s="10" t="s">
        <v>46</v>
      </c>
      <c r="D377" s="8">
        <v>1</v>
      </c>
      <c r="E377" s="38" t="s">
        <v>440</v>
      </c>
    </row>
    <row r="378" spans="1:5" x14ac:dyDescent="0.25">
      <c r="A378" s="8" t="str">
        <f t="shared" si="9"/>
        <v>INDEC-PB - 41532-11</v>
      </c>
      <c r="B378" s="8">
        <v>41532</v>
      </c>
      <c r="C378" s="10" t="s">
        <v>46</v>
      </c>
      <c r="D378" s="8">
        <v>11</v>
      </c>
      <c r="E378" s="38" t="s">
        <v>441</v>
      </c>
    </row>
    <row r="379" spans="1:5" x14ac:dyDescent="0.25">
      <c r="A379" s="8" t="str">
        <f t="shared" si="9"/>
        <v>INDEC-PB - 41532-1</v>
      </c>
      <c r="B379" s="8">
        <v>41532</v>
      </c>
      <c r="C379" s="10" t="s">
        <v>46</v>
      </c>
      <c r="D379" s="8">
        <v>1</v>
      </c>
      <c r="E379" s="38" t="s">
        <v>442</v>
      </c>
    </row>
    <row r="380" spans="1:5" x14ac:dyDescent="0.25">
      <c r="A380" s="8" t="str">
        <f t="shared" si="9"/>
        <v>INDEC-PB - 31430-1</v>
      </c>
      <c r="B380" s="8">
        <v>31430</v>
      </c>
      <c r="C380" s="10" t="s">
        <v>46</v>
      </c>
      <c r="D380" s="8">
        <v>1</v>
      </c>
      <c r="E380" s="38" t="s">
        <v>443</v>
      </c>
    </row>
    <row r="381" spans="1:5" x14ac:dyDescent="0.25">
      <c r="A381" s="8" t="str">
        <f t="shared" si="9"/>
        <v>INDEC-PB - 31100-1</v>
      </c>
      <c r="B381" s="8">
        <v>31100</v>
      </c>
      <c r="C381" s="10" t="s">
        <v>46</v>
      </c>
      <c r="D381" s="8">
        <v>1</v>
      </c>
      <c r="E381" s="38" t="s">
        <v>444</v>
      </c>
    </row>
    <row r="382" spans="1:5" x14ac:dyDescent="0.25">
      <c r="A382" s="8" t="str">
        <f t="shared" si="9"/>
        <v>INDEC-PB - 31420-1</v>
      </c>
      <c r="B382" s="8">
        <v>31420</v>
      </c>
      <c r="C382" s="10" t="s">
        <v>46</v>
      </c>
      <c r="D382" s="8">
        <v>1</v>
      </c>
      <c r="E382" s="38" t="s">
        <v>445</v>
      </c>
    </row>
    <row r="383" spans="1:5" x14ac:dyDescent="0.25">
      <c r="A383" s="8" t="str">
        <f t="shared" si="9"/>
        <v>INDEC-PB - 31420-2</v>
      </c>
      <c r="B383" s="8">
        <v>31420</v>
      </c>
      <c r="C383" s="10" t="s">
        <v>46</v>
      </c>
      <c r="D383" s="8">
        <v>2</v>
      </c>
      <c r="E383" s="38" t="s">
        <v>446</v>
      </c>
    </row>
    <row r="384" spans="1:5" x14ac:dyDescent="0.25">
      <c r="A384" s="8" t="str">
        <f t="shared" si="9"/>
        <v>INDEC-PB - 44222-1</v>
      </c>
      <c r="B384" s="8">
        <v>44222</v>
      </c>
      <c r="C384" s="10" t="s">
        <v>46</v>
      </c>
      <c r="D384" s="8">
        <v>1</v>
      </c>
      <c r="E384" s="38" t="s">
        <v>447</v>
      </c>
    </row>
    <row r="385" spans="1:5" x14ac:dyDescent="0.25">
      <c r="A385" s="8" t="str">
        <f t="shared" si="9"/>
        <v>INDEC-PB - 44427-1</v>
      </c>
      <c r="B385" s="8">
        <v>44427</v>
      </c>
      <c r="C385" s="10" t="s">
        <v>46</v>
      </c>
      <c r="D385" s="8">
        <v>1</v>
      </c>
      <c r="E385" s="38" t="s">
        <v>448</v>
      </c>
    </row>
    <row r="386" spans="1:5" x14ac:dyDescent="0.25">
      <c r="A386" s="8" t="str">
        <f t="shared" si="9"/>
        <v>INDEC-PB - 44430-1</v>
      </c>
      <c r="B386" s="8">
        <v>44430</v>
      </c>
      <c r="C386" s="10" t="s">
        <v>46</v>
      </c>
      <c r="D386" s="8">
        <v>1</v>
      </c>
      <c r="E386" s="38" t="s">
        <v>449</v>
      </c>
    </row>
    <row r="387" spans="1:5" x14ac:dyDescent="0.25">
      <c r="A387" s="8" t="str">
        <f t="shared" si="9"/>
        <v>INDEC-PB - 37930-1</v>
      </c>
      <c r="B387" s="8">
        <v>37930</v>
      </c>
      <c r="C387" s="10" t="s">
        <v>46</v>
      </c>
      <c r="D387" s="8">
        <v>1</v>
      </c>
      <c r="E387" s="38" t="s">
        <v>450</v>
      </c>
    </row>
    <row r="388" spans="1:5" x14ac:dyDescent="0.25">
      <c r="A388" s="8" t="str">
        <f t="shared" si="9"/>
        <v>INDEC-PB - 37330-1</v>
      </c>
      <c r="B388" s="8">
        <v>37330</v>
      </c>
      <c r="C388" s="10" t="s">
        <v>46</v>
      </c>
      <c r="D388" s="8">
        <v>1</v>
      </c>
      <c r="E388" s="38" t="s">
        <v>451</v>
      </c>
    </row>
    <row r="389" spans="1:5" x14ac:dyDescent="0.25">
      <c r="A389" s="8" t="str">
        <f t="shared" si="9"/>
        <v>INDEC-PB - 37540-1</v>
      </c>
      <c r="B389" s="8">
        <v>37540</v>
      </c>
      <c r="C389" s="10" t="s">
        <v>46</v>
      </c>
      <c r="D389" s="8">
        <v>1</v>
      </c>
      <c r="E389" s="38" t="s">
        <v>452</v>
      </c>
    </row>
    <row r="390" spans="1:5" x14ac:dyDescent="0.25">
      <c r="A390" s="8" t="str">
        <f t="shared" si="9"/>
        <v>INDEC-PB - 43121-1</v>
      </c>
      <c r="B390" s="8">
        <v>43121</v>
      </c>
      <c r="C390" s="10" t="s">
        <v>46</v>
      </c>
      <c r="D390" s="8">
        <v>1</v>
      </c>
      <c r="E390" s="38" t="s">
        <v>453</v>
      </c>
    </row>
    <row r="391" spans="1:5" x14ac:dyDescent="0.25">
      <c r="A391" s="8" t="str">
        <f t="shared" si="9"/>
        <v>INDEC-PB - 46112-1</v>
      </c>
      <c r="B391" s="8">
        <v>46112</v>
      </c>
      <c r="C391" s="10" t="s">
        <v>46</v>
      </c>
      <c r="D391" s="8">
        <v>1</v>
      </c>
      <c r="E391" s="38" t="s">
        <v>454</v>
      </c>
    </row>
    <row r="392" spans="1:5" x14ac:dyDescent="0.25">
      <c r="A392" s="8" t="str">
        <f t="shared" si="9"/>
        <v>INDEC-PB - 43122-1</v>
      </c>
      <c r="B392" s="8">
        <v>43122</v>
      </c>
      <c r="C392" s="10" t="s">
        <v>46</v>
      </c>
      <c r="D392" s="8">
        <v>1</v>
      </c>
      <c r="E392" s="38" t="s">
        <v>455</v>
      </c>
    </row>
    <row r="393" spans="1:5" x14ac:dyDescent="0.25">
      <c r="A393" s="8" t="str">
        <f t="shared" si="9"/>
        <v>INDEC-PB - 49911-1</v>
      </c>
      <c r="B393" s="8">
        <v>49911</v>
      </c>
      <c r="C393" s="10" t="s">
        <v>46</v>
      </c>
      <c r="D393" s="8">
        <v>1</v>
      </c>
      <c r="E393" s="38" t="s">
        <v>456</v>
      </c>
    </row>
    <row r="394" spans="1:5" x14ac:dyDescent="0.25">
      <c r="A394" s="8" t="str">
        <f t="shared" si="9"/>
        <v>INDEC-PB - 33310-1</v>
      </c>
      <c r="B394" s="8">
        <v>33310</v>
      </c>
      <c r="C394" s="10" t="s">
        <v>46</v>
      </c>
      <c r="D394" s="8">
        <v>1</v>
      </c>
      <c r="E394" s="38" t="s">
        <v>457</v>
      </c>
    </row>
    <row r="395" spans="1:5" x14ac:dyDescent="0.25">
      <c r="A395" s="8" t="str">
        <f t="shared" si="9"/>
        <v>INDEC-PB - 32129-1</v>
      </c>
      <c r="B395" s="8">
        <v>32129</v>
      </c>
      <c r="C395" s="10" t="s">
        <v>46</v>
      </c>
      <c r="D395" s="8">
        <v>1</v>
      </c>
      <c r="E395" s="38" t="s">
        <v>458</v>
      </c>
    </row>
    <row r="396" spans="1:5" x14ac:dyDescent="0.25">
      <c r="A396" s="8" t="str">
        <f t="shared" si="9"/>
        <v>INDEC-PB - 37990-2</v>
      </c>
      <c r="B396" s="8">
        <v>37990</v>
      </c>
      <c r="C396" s="10" t="s">
        <v>46</v>
      </c>
      <c r="D396" s="8">
        <v>2</v>
      </c>
      <c r="E396" s="38" t="s">
        <v>459</v>
      </c>
    </row>
    <row r="397" spans="1:5" x14ac:dyDescent="0.25">
      <c r="A397" s="8" t="str">
        <f t="shared" si="9"/>
        <v>INDEC-PB - 41251-1</v>
      </c>
      <c r="B397" s="8">
        <v>41251</v>
      </c>
      <c r="C397" s="10" t="s">
        <v>46</v>
      </c>
      <c r="D397" s="8">
        <v>1</v>
      </c>
      <c r="E397" s="38" t="s">
        <v>460</v>
      </c>
    </row>
    <row r="398" spans="1:5" x14ac:dyDescent="0.25">
      <c r="A398" s="8" t="str">
        <f t="shared" si="9"/>
        <v>INDEC-PB - 12010-1</v>
      </c>
      <c r="B398" s="8">
        <v>12010</v>
      </c>
      <c r="C398" s="10" t="s">
        <v>46</v>
      </c>
      <c r="D398" s="8">
        <v>1</v>
      </c>
      <c r="E398" s="38" t="s">
        <v>461</v>
      </c>
    </row>
    <row r="399" spans="1:5" x14ac:dyDescent="0.25">
      <c r="A399" s="8" t="str">
        <f t="shared" si="9"/>
        <v>INDEC-PB - 15320-1</v>
      </c>
      <c r="B399" s="8">
        <v>15320</v>
      </c>
      <c r="C399" s="10" t="s">
        <v>46</v>
      </c>
      <c r="D399" s="8">
        <v>1</v>
      </c>
      <c r="E399" s="38" t="s">
        <v>462</v>
      </c>
    </row>
    <row r="400" spans="1:5" x14ac:dyDescent="0.25">
      <c r="A400" s="8" t="str">
        <f t="shared" si="9"/>
        <v>INDEC-PB - 41116-1</v>
      </c>
      <c r="B400" s="8">
        <v>41116</v>
      </c>
      <c r="C400" s="10" t="s">
        <v>46</v>
      </c>
      <c r="D400" s="8">
        <v>1</v>
      </c>
      <c r="E400" s="38" t="s">
        <v>463</v>
      </c>
    </row>
    <row r="401" spans="1:5" x14ac:dyDescent="0.25">
      <c r="A401" s="8" t="str">
        <f t="shared" si="9"/>
        <v>INDEC-PB - 42999-1</v>
      </c>
      <c r="B401" s="8">
        <v>42999</v>
      </c>
      <c r="C401" s="10" t="s">
        <v>46</v>
      </c>
      <c r="D401" s="8">
        <v>1</v>
      </c>
      <c r="E401" s="38" t="s">
        <v>464</v>
      </c>
    </row>
    <row r="402" spans="1:5" x14ac:dyDescent="0.25">
      <c r="A402" s="8" t="str">
        <f t="shared" ref="A402:A425" si="10">CONCATENATE("INDEC-PB - ",B402,C402,D402)</f>
        <v>INDEC-PB - 35110-3</v>
      </c>
      <c r="B402" s="8">
        <v>35110</v>
      </c>
      <c r="C402" s="10" t="s">
        <v>46</v>
      </c>
      <c r="D402" s="8">
        <v>3</v>
      </c>
      <c r="E402" s="38" t="s">
        <v>465</v>
      </c>
    </row>
    <row r="403" spans="1:5" x14ac:dyDescent="0.25">
      <c r="A403" s="8" t="str">
        <f t="shared" si="10"/>
        <v>INDEC-PB - 34740-6</v>
      </c>
      <c r="B403" s="8">
        <v>34740</v>
      </c>
      <c r="C403" s="10" t="s">
        <v>46</v>
      </c>
      <c r="D403" s="8">
        <v>6</v>
      </c>
      <c r="E403" s="38" t="s">
        <v>466</v>
      </c>
    </row>
    <row r="404" spans="1:5" x14ac:dyDescent="0.25">
      <c r="A404" s="8" t="str">
        <f t="shared" si="10"/>
        <v>INDEC-PB - 34730-1</v>
      </c>
      <c r="B404" s="8">
        <v>34730</v>
      </c>
      <c r="C404" s="10" t="s">
        <v>46</v>
      </c>
      <c r="D404" s="8">
        <v>1</v>
      </c>
      <c r="E404" s="38" t="s">
        <v>467</v>
      </c>
    </row>
    <row r="405" spans="1:5" x14ac:dyDescent="0.25">
      <c r="A405" s="8" t="str">
        <f t="shared" si="10"/>
        <v>INDEC-PB - 34720-1</v>
      </c>
      <c r="B405" s="8">
        <v>34720</v>
      </c>
      <c r="C405" s="10" t="s">
        <v>46</v>
      </c>
      <c r="D405" s="8">
        <v>1</v>
      </c>
      <c r="E405" s="38" t="s">
        <v>468</v>
      </c>
    </row>
    <row r="406" spans="1:5" x14ac:dyDescent="0.25">
      <c r="A406" s="8" t="str">
        <f t="shared" si="10"/>
        <v>INDEC-PB - 34710-1</v>
      </c>
      <c r="B406" s="8">
        <v>34710</v>
      </c>
      <c r="C406" s="10" t="s">
        <v>46</v>
      </c>
      <c r="D406" s="8">
        <v>1</v>
      </c>
      <c r="E406" s="38" t="s">
        <v>469</v>
      </c>
    </row>
    <row r="407" spans="1:5" x14ac:dyDescent="0.25">
      <c r="A407" s="8" t="str">
        <f t="shared" si="10"/>
        <v>INDEC-PB - 41530-1</v>
      </c>
      <c r="B407" s="8">
        <v>41530</v>
      </c>
      <c r="C407" s="10" t="s">
        <v>46</v>
      </c>
      <c r="D407" s="8">
        <v>1</v>
      </c>
      <c r="E407" s="38" t="s">
        <v>470</v>
      </c>
    </row>
    <row r="408" spans="1:5" x14ac:dyDescent="0.25">
      <c r="A408" s="8" t="str">
        <f t="shared" si="10"/>
        <v>INDEC-PB - 41510-1</v>
      </c>
      <c r="B408" s="8">
        <v>41510</v>
      </c>
      <c r="C408" s="10" t="s">
        <v>46</v>
      </c>
      <c r="D408" s="8">
        <v>1</v>
      </c>
      <c r="E408" s="38" t="s">
        <v>471</v>
      </c>
    </row>
    <row r="409" spans="1:5" x14ac:dyDescent="0.25">
      <c r="A409" s="8" t="str">
        <f t="shared" si="10"/>
        <v>INDEC-PB - 31600-2</v>
      </c>
      <c r="B409" s="8">
        <v>31600</v>
      </c>
      <c r="C409" s="10" t="s">
        <v>46</v>
      </c>
      <c r="D409" s="8">
        <v>2</v>
      </c>
      <c r="E409" s="38" t="s">
        <v>472</v>
      </c>
    </row>
    <row r="410" spans="1:5" x14ac:dyDescent="0.25">
      <c r="A410" s="8" t="str">
        <f t="shared" si="10"/>
        <v>INDEC-PB - 49129-2</v>
      </c>
      <c r="B410" s="8">
        <v>49129</v>
      </c>
      <c r="C410" s="10" t="s">
        <v>46</v>
      </c>
      <c r="D410" s="8">
        <v>2</v>
      </c>
      <c r="E410" s="38" t="s">
        <v>473</v>
      </c>
    </row>
    <row r="411" spans="1:5" x14ac:dyDescent="0.25">
      <c r="A411" s="8" t="str">
        <f t="shared" si="10"/>
        <v>INDEC-PB - 34740-1</v>
      </c>
      <c r="B411" s="8">
        <v>34740</v>
      </c>
      <c r="C411" s="10" t="s">
        <v>46</v>
      </c>
      <c r="D411" s="8">
        <v>1</v>
      </c>
      <c r="E411" s="38" t="s">
        <v>474</v>
      </c>
    </row>
    <row r="412" spans="1:5" x14ac:dyDescent="0.25">
      <c r="A412" s="8" t="str">
        <f t="shared" si="10"/>
        <v>INDEC-PB - 43310-1</v>
      </c>
      <c r="B412" s="8">
        <v>43310</v>
      </c>
      <c r="C412" s="10" t="s">
        <v>46</v>
      </c>
      <c r="D412" s="8">
        <v>1</v>
      </c>
      <c r="E412" s="38" t="s">
        <v>475</v>
      </c>
    </row>
    <row r="413" spans="1:5" x14ac:dyDescent="0.25">
      <c r="A413" s="8" t="str">
        <f t="shared" si="10"/>
        <v>INDEC-PB - 44240-1</v>
      </c>
      <c r="B413" s="8">
        <v>44240</v>
      </c>
      <c r="C413" s="10" t="s">
        <v>46</v>
      </c>
      <c r="D413" s="8">
        <v>1</v>
      </c>
      <c r="E413" s="38" t="s">
        <v>476</v>
      </c>
    </row>
    <row r="414" spans="1:5" x14ac:dyDescent="0.25">
      <c r="A414" s="8" t="str">
        <f t="shared" si="10"/>
        <v>INDEC-PB - 33500-1</v>
      </c>
      <c r="B414" s="8">
        <v>33500</v>
      </c>
      <c r="C414" s="10" t="s">
        <v>46</v>
      </c>
      <c r="D414" s="8">
        <v>1</v>
      </c>
      <c r="E414" s="38" t="s">
        <v>477</v>
      </c>
    </row>
    <row r="415" spans="1:5" x14ac:dyDescent="0.25">
      <c r="A415" s="8" t="str">
        <f t="shared" si="10"/>
        <v>INDEC-PB - 44214-1</v>
      </c>
      <c r="B415" s="8">
        <v>44214</v>
      </c>
      <c r="C415" s="10" t="s">
        <v>46</v>
      </c>
      <c r="D415" s="8">
        <v>1</v>
      </c>
      <c r="E415" s="38" t="s">
        <v>478</v>
      </c>
    </row>
    <row r="416" spans="1:5" x14ac:dyDescent="0.25">
      <c r="A416" s="8" t="str">
        <f t="shared" si="10"/>
        <v>INDEC-PB - 37350-2</v>
      </c>
      <c r="B416" s="8">
        <v>37350</v>
      </c>
      <c r="C416" s="10" t="s">
        <v>46</v>
      </c>
      <c r="D416" s="8">
        <v>2</v>
      </c>
      <c r="E416" s="38" t="s">
        <v>479</v>
      </c>
    </row>
    <row r="417" spans="1:5" x14ac:dyDescent="0.25">
      <c r="A417" s="8" t="str">
        <f t="shared" si="10"/>
        <v>INDEC-PB - 42943-1</v>
      </c>
      <c r="B417" s="8">
        <v>42943</v>
      </c>
      <c r="C417" s="10" t="s">
        <v>46</v>
      </c>
      <c r="D417" s="8">
        <v>1</v>
      </c>
      <c r="E417" s="38" t="s">
        <v>480</v>
      </c>
    </row>
    <row r="418" spans="1:5" x14ac:dyDescent="0.25">
      <c r="A418" s="8" t="str">
        <f t="shared" si="10"/>
        <v>INDEC-PB - 36990-1</v>
      </c>
      <c r="B418" s="8">
        <v>36990</v>
      </c>
      <c r="C418" s="10" t="s">
        <v>46</v>
      </c>
      <c r="D418" s="8">
        <v>1</v>
      </c>
      <c r="E418" s="38" t="s">
        <v>481</v>
      </c>
    </row>
    <row r="419" spans="1:5" x14ac:dyDescent="0.25">
      <c r="A419" s="8" t="str">
        <f t="shared" si="10"/>
        <v>INDEC-PB - 46121-1</v>
      </c>
      <c r="B419" s="8">
        <v>46121</v>
      </c>
      <c r="C419" s="10" t="s">
        <v>46</v>
      </c>
      <c r="D419" s="8">
        <v>1</v>
      </c>
      <c r="E419" s="38" t="s">
        <v>482</v>
      </c>
    </row>
    <row r="420" spans="1:5" x14ac:dyDescent="0.25">
      <c r="A420" s="8" t="str">
        <f t="shared" si="10"/>
        <v>INDEC-PB - 49115-1</v>
      </c>
      <c r="B420" s="8">
        <v>49115</v>
      </c>
      <c r="C420" s="10" t="s">
        <v>46</v>
      </c>
      <c r="D420" s="8">
        <v>1</v>
      </c>
      <c r="E420" s="38" t="s">
        <v>483</v>
      </c>
    </row>
    <row r="421" spans="1:5" x14ac:dyDescent="0.25">
      <c r="A421" s="8" t="str">
        <f t="shared" si="10"/>
        <v>INDEC-PB - 37113-1</v>
      </c>
      <c r="B421" s="8">
        <v>37113</v>
      </c>
      <c r="C421" s="10" t="s">
        <v>46</v>
      </c>
      <c r="D421" s="8">
        <v>1</v>
      </c>
      <c r="E421" s="38" t="s">
        <v>484</v>
      </c>
    </row>
    <row r="422" spans="1:5" x14ac:dyDescent="0.25">
      <c r="A422" s="8" t="str">
        <f t="shared" si="10"/>
        <v>INDEC-PB - 37199-3</v>
      </c>
      <c r="B422" s="8">
        <v>37199</v>
      </c>
      <c r="C422" s="10" t="s">
        <v>46</v>
      </c>
      <c r="D422" s="8">
        <v>3</v>
      </c>
      <c r="E422" s="38" t="s">
        <v>485</v>
      </c>
    </row>
    <row r="423" spans="1:5" x14ac:dyDescent="0.25">
      <c r="A423" s="8" t="str">
        <f t="shared" si="10"/>
        <v>INDEC-PB - 37199-1</v>
      </c>
      <c r="B423" s="8">
        <v>37199</v>
      </c>
      <c r="C423" s="10" t="s">
        <v>46</v>
      </c>
      <c r="D423" s="8">
        <v>1</v>
      </c>
      <c r="E423" s="38" t="s">
        <v>486</v>
      </c>
    </row>
    <row r="424" spans="1:5" x14ac:dyDescent="0.25">
      <c r="A424" s="8" t="str">
        <f t="shared" si="10"/>
        <v>INDEC-PB - 37199-2</v>
      </c>
      <c r="B424" s="8">
        <v>37199</v>
      </c>
      <c r="C424" s="10" t="s">
        <v>46</v>
      </c>
      <c r="D424" s="8">
        <v>2</v>
      </c>
      <c r="E424" s="38" t="s">
        <v>487</v>
      </c>
    </row>
    <row r="425" spans="1:5" x14ac:dyDescent="0.25">
      <c r="A425" s="8" t="str">
        <f t="shared" si="10"/>
        <v>INDEC-PB - 15200-1</v>
      </c>
      <c r="B425" s="8">
        <v>15200</v>
      </c>
      <c r="C425" s="10" t="s">
        <v>46</v>
      </c>
      <c r="D425" s="8">
        <v>1</v>
      </c>
      <c r="E425" s="38" t="s">
        <v>488</v>
      </c>
    </row>
    <row r="426" spans="1:5" x14ac:dyDescent="0.25">
      <c r="A426" s="39"/>
      <c r="E426" s="40"/>
    </row>
    <row r="427" spans="1:5" x14ac:dyDescent="0.25">
      <c r="A427" s="41"/>
      <c r="E427" s="40" t="s">
        <v>489</v>
      </c>
    </row>
    <row r="428" spans="1:5" x14ac:dyDescent="0.25">
      <c r="A428" s="8" t="str">
        <f t="shared" ref="A428:A445" si="11">CONCATENATE("INDEC-PB - ",B428,C428,D428)</f>
        <v>INDEC-PB - 94920-1</v>
      </c>
      <c r="B428" s="10">
        <v>94920</v>
      </c>
      <c r="C428" s="10" t="s">
        <v>46</v>
      </c>
      <c r="D428" s="8">
        <v>1</v>
      </c>
      <c r="E428" s="38" t="s">
        <v>490</v>
      </c>
    </row>
    <row r="429" spans="1:5" x14ac:dyDescent="0.25">
      <c r="A429" s="8" t="str">
        <f t="shared" si="11"/>
        <v>INDEC-PB - 91223-1</v>
      </c>
      <c r="B429" s="10">
        <v>91223</v>
      </c>
      <c r="C429" s="10" t="s">
        <v>46</v>
      </c>
      <c r="D429" s="8">
        <v>1</v>
      </c>
      <c r="E429" s="38" t="s">
        <v>491</v>
      </c>
    </row>
    <row r="430" spans="1:5" x14ac:dyDescent="0.25">
      <c r="A430" s="8" t="str">
        <f t="shared" si="11"/>
        <v>INDEC-PB - 91211-11</v>
      </c>
      <c r="B430" s="10">
        <v>91211</v>
      </c>
      <c r="C430" s="10" t="s">
        <v>46</v>
      </c>
      <c r="D430" s="8">
        <v>11</v>
      </c>
      <c r="E430" s="38" t="s">
        <v>492</v>
      </c>
    </row>
    <row r="431" spans="1:5" x14ac:dyDescent="0.25">
      <c r="A431" s="8" t="str">
        <f t="shared" si="11"/>
        <v>INDEC-PB - 91211-1</v>
      </c>
      <c r="B431" s="10">
        <v>91211</v>
      </c>
      <c r="C431" s="10" t="s">
        <v>46</v>
      </c>
      <c r="D431" s="8">
        <v>1</v>
      </c>
      <c r="E431" s="38" t="s">
        <v>493</v>
      </c>
    </row>
    <row r="432" spans="1:5" x14ac:dyDescent="0.25">
      <c r="A432" s="8" t="str">
        <f t="shared" si="11"/>
        <v>INDEC-PB - 91511-1</v>
      </c>
      <c r="B432" s="10">
        <v>91511</v>
      </c>
      <c r="C432" s="10" t="s">
        <v>46</v>
      </c>
      <c r="D432" s="8">
        <v>1</v>
      </c>
      <c r="E432" s="38" t="s">
        <v>494</v>
      </c>
    </row>
    <row r="433" spans="1:5" x14ac:dyDescent="0.25">
      <c r="A433" s="8" t="str">
        <f t="shared" si="11"/>
        <v>INDEC-PB - 91547-1</v>
      </c>
      <c r="B433" s="10">
        <v>91547</v>
      </c>
      <c r="C433" s="10" t="s">
        <v>46</v>
      </c>
      <c r="D433" s="8">
        <v>1</v>
      </c>
      <c r="E433" s="38" t="s">
        <v>495</v>
      </c>
    </row>
    <row r="434" spans="1:5" x14ac:dyDescent="0.25">
      <c r="A434" s="8" t="str">
        <f t="shared" si="11"/>
        <v>INDEC-PB - 81100-1</v>
      </c>
      <c r="B434" s="10">
        <v>81100</v>
      </c>
      <c r="C434" s="10" t="s">
        <v>46</v>
      </c>
      <c r="D434" s="8">
        <v>1</v>
      </c>
      <c r="E434" s="38" t="s">
        <v>496</v>
      </c>
    </row>
    <row r="435" spans="1:5" x14ac:dyDescent="0.25">
      <c r="A435" s="8" t="str">
        <f t="shared" si="11"/>
        <v>INDEC-PB - 91601-2</v>
      </c>
      <c r="B435" s="10">
        <v>91601</v>
      </c>
      <c r="C435" s="10" t="s">
        <v>46</v>
      </c>
      <c r="D435" s="8">
        <v>2</v>
      </c>
      <c r="E435" s="38" t="s">
        <v>497</v>
      </c>
    </row>
    <row r="436" spans="1:5" x14ac:dyDescent="0.25">
      <c r="A436" s="8" t="str">
        <f t="shared" si="11"/>
        <v>INDEC-PB - 94214-1</v>
      </c>
      <c r="B436" s="10">
        <v>94214</v>
      </c>
      <c r="C436" s="10" t="s">
        <v>46</v>
      </c>
      <c r="D436" s="8">
        <v>1</v>
      </c>
      <c r="E436" s="38" t="s">
        <v>498</v>
      </c>
    </row>
    <row r="437" spans="1:5" x14ac:dyDescent="0.25">
      <c r="A437" s="8" t="str">
        <f t="shared" si="11"/>
        <v>INDEC-PB - 94216-1</v>
      </c>
      <c r="B437" s="10">
        <v>94216</v>
      </c>
      <c r="C437" s="10" t="s">
        <v>46</v>
      </c>
      <c r="D437" s="8">
        <v>1</v>
      </c>
      <c r="E437" s="38" t="s">
        <v>499</v>
      </c>
    </row>
    <row r="438" spans="1:5" x14ac:dyDescent="0.25">
      <c r="A438" s="8" t="str">
        <f t="shared" si="11"/>
        <v>INDEC-PB - 93310-2</v>
      </c>
      <c r="B438" s="10">
        <v>93310</v>
      </c>
      <c r="C438" s="10" t="s">
        <v>46</v>
      </c>
      <c r="D438" s="8">
        <v>2</v>
      </c>
      <c r="E438" s="38" t="s">
        <v>500</v>
      </c>
    </row>
    <row r="439" spans="1:5" x14ac:dyDescent="0.25">
      <c r="A439" s="8" t="str">
        <f t="shared" si="11"/>
        <v>INDEC-PB - 82129-1</v>
      </c>
      <c r="B439" s="10">
        <v>82129</v>
      </c>
      <c r="C439" s="10" t="s">
        <v>46</v>
      </c>
      <c r="D439" s="8">
        <v>1</v>
      </c>
      <c r="E439" s="38" t="s">
        <v>501</v>
      </c>
    </row>
    <row r="440" spans="1:5" x14ac:dyDescent="0.25">
      <c r="A440" s="8" t="str">
        <f t="shared" si="11"/>
        <v>INDEC-PB - 91251-1</v>
      </c>
      <c r="B440" s="10">
        <v>91251</v>
      </c>
      <c r="C440" s="10" t="s">
        <v>46</v>
      </c>
      <c r="D440" s="8">
        <v>1</v>
      </c>
      <c r="E440" s="38" t="s">
        <v>502</v>
      </c>
    </row>
    <row r="441" spans="1:5" x14ac:dyDescent="0.25">
      <c r="A441" s="8" t="str">
        <f t="shared" si="11"/>
        <v>INDEC-PB - 93310-1</v>
      </c>
      <c r="B441" s="10">
        <v>93310</v>
      </c>
      <c r="C441" s="10" t="s">
        <v>46</v>
      </c>
      <c r="D441" s="8">
        <v>1</v>
      </c>
      <c r="E441" s="38" t="s">
        <v>503</v>
      </c>
    </row>
    <row r="442" spans="1:5" x14ac:dyDescent="0.25">
      <c r="A442" s="8" t="str">
        <f t="shared" si="11"/>
        <v>INDEC-PB - 84710-1</v>
      </c>
      <c r="B442" s="10">
        <v>84710</v>
      </c>
      <c r="C442" s="10" t="s">
        <v>46</v>
      </c>
      <c r="D442" s="8">
        <v>1</v>
      </c>
      <c r="E442" s="38" t="s">
        <v>504</v>
      </c>
    </row>
    <row r="443" spans="1:5" x14ac:dyDescent="0.25">
      <c r="A443" s="8" t="str">
        <f t="shared" si="11"/>
        <v>INDEC-PB - 84740-1</v>
      </c>
      <c r="B443" s="10">
        <v>84740</v>
      </c>
      <c r="C443" s="10" t="s">
        <v>46</v>
      </c>
      <c r="D443" s="8">
        <v>1</v>
      </c>
      <c r="E443" s="38" t="s">
        <v>505</v>
      </c>
    </row>
    <row r="444" spans="1:5" x14ac:dyDescent="0.25">
      <c r="A444" s="8" t="str">
        <f t="shared" si="11"/>
        <v>INDEC-PB - 84230-1</v>
      </c>
      <c r="B444" s="10">
        <v>84230</v>
      </c>
      <c r="C444" s="10" t="s">
        <v>46</v>
      </c>
      <c r="D444" s="8">
        <v>1</v>
      </c>
      <c r="E444" s="38" t="s">
        <v>506</v>
      </c>
    </row>
    <row r="445" spans="1:5" x14ac:dyDescent="0.25">
      <c r="A445" s="8" t="str">
        <f t="shared" si="11"/>
        <v>INDEC-PB - 85490-1</v>
      </c>
      <c r="B445" s="10">
        <v>85490</v>
      </c>
      <c r="C445" s="10" t="s">
        <v>46</v>
      </c>
      <c r="D445" s="8">
        <v>1</v>
      </c>
      <c r="E445" s="38" t="s">
        <v>507</v>
      </c>
    </row>
    <row r="448" spans="1:5" x14ac:dyDescent="0.25">
      <c r="A448" s="38"/>
      <c r="B448" s="6" t="s">
        <v>509</v>
      </c>
      <c r="C448" s="42"/>
      <c r="D448" s="43"/>
    </row>
    <row r="449" spans="1:5" x14ac:dyDescent="0.25">
      <c r="A449" s="38"/>
      <c r="B449" s="16"/>
      <c r="C449" s="42"/>
      <c r="D449" s="43"/>
    </row>
    <row r="450" spans="1:5" ht="12.75" customHeight="1" x14ac:dyDescent="0.25">
      <c r="A450" s="620" t="s">
        <v>348</v>
      </c>
      <c r="B450" s="619" t="s">
        <v>510</v>
      </c>
      <c r="C450" s="619"/>
      <c r="D450" s="619"/>
      <c r="E450" s="620" t="s">
        <v>44</v>
      </c>
    </row>
    <row r="451" spans="1:5" ht="12" customHeight="1" x14ac:dyDescent="0.25">
      <c r="A451" s="620"/>
      <c r="B451" s="619" t="s">
        <v>511</v>
      </c>
      <c r="C451" s="619"/>
      <c r="D451" s="619"/>
      <c r="E451" s="620"/>
    </row>
    <row r="452" spans="1:5" x14ac:dyDescent="0.25">
      <c r="B452" s="15"/>
      <c r="C452" s="43"/>
      <c r="D452" s="43"/>
      <c r="E452" s="44"/>
    </row>
    <row r="453" spans="1:5" x14ac:dyDescent="0.25">
      <c r="B453" s="15"/>
      <c r="C453" s="43"/>
      <c r="D453" s="43"/>
      <c r="E453" s="40" t="s">
        <v>512</v>
      </c>
    </row>
    <row r="454" spans="1:5" x14ac:dyDescent="0.25">
      <c r="A454" s="8" t="str">
        <f t="shared" ref="A454:A474" si="12">CONCATENATE("INDEC-PB - ",B454,C454,D454)</f>
        <v>INDEC-PB - 2811-1</v>
      </c>
      <c r="B454" s="41">
        <v>2811</v>
      </c>
      <c r="C454" s="21" t="s">
        <v>46</v>
      </c>
      <c r="D454" s="8">
        <v>1</v>
      </c>
      <c r="E454" s="28" t="s">
        <v>513</v>
      </c>
    </row>
    <row r="455" spans="1:5" x14ac:dyDescent="0.25">
      <c r="A455" s="8" t="str">
        <f t="shared" si="12"/>
        <v>INDEC-PB - 2710-1</v>
      </c>
      <c r="B455" s="41">
        <v>2710</v>
      </c>
      <c r="C455" s="21" t="s">
        <v>46</v>
      </c>
      <c r="D455" s="8">
        <v>1</v>
      </c>
      <c r="E455" s="28" t="s">
        <v>514</v>
      </c>
    </row>
    <row r="456" spans="1:5" x14ac:dyDescent="0.25">
      <c r="A456" s="8" t="str">
        <f t="shared" si="12"/>
        <v>INDEC-PB - 2922-1</v>
      </c>
      <c r="B456" s="41">
        <v>2922</v>
      </c>
      <c r="C456" s="21" t="s">
        <v>46</v>
      </c>
      <c r="D456" s="8">
        <v>1</v>
      </c>
      <c r="E456" s="28" t="s">
        <v>515</v>
      </c>
    </row>
    <row r="457" spans="1:5" x14ac:dyDescent="0.25">
      <c r="A457" s="8" t="str">
        <f t="shared" si="12"/>
        <v>INDEC-PB - 2691-</v>
      </c>
      <c r="B457" s="41">
        <v>2691</v>
      </c>
      <c r="C457" s="21" t="s">
        <v>46</v>
      </c>
      <c r="E457" s="28" t="s">
        <v>516</v>
      </c>
    </row>
    <row r="458" spans="1:5" x14ac:dyDescent="0.25">
      <c r="A458" s="8" t="str">
        <f t="shared" si="12"/>
        <v>INDEC-PB - 2695-</v>
      </c>
      <c r="B458" s="41">
        <v>2695</v>
      </c>
      <c r="C458" s="21" t="s">
        <v>46</v>
      </c>
      <c r="E458" s="28" t="s">
        <v>517</v>
      </c>
    </row>
    <row r="459" spans="1:5" x14ac:dyDescent="0.25">
      <c r="A459" s="8" t="str">
        <f t="shared" si="12"/>
        <v>INDEC-PB - 3410-2</v>
      </c>
      <c r="B459" s="41">
        <v>3410</v>
      </c>
      <c r="C459" s="21" t="s">
        <v>46</v>
      </c>
      <c r="D459" s="8">
        <v>2</v>
      </c>
      <c r="E459" s="28" t="s">
        <v>518</v>
      </c>
    </row>
    <row r="460" spans="1:5" x14ac:dyDescent="0.25">
      <c r="A460" s="8" t="str">
        <f t="shared" si="12"/>
        <v>INDEC-PB - 2520-1</v>
      </c>
      <c r="B460" s="41">
        <v>2520</v>
      </c>
      <c r="C460" s="21" t="s">
        <v>46</v>
      </c>
      <c r="D460" s="8">
        <v>1</v>
      </c>
      <c r="E460" s="38" t="s">
        <v>519</v>
      </c>
    </row>
    <row r="461" spans="1:5" x14ac:dyDescent="0.25">
      <c r="A461" s="8" t="str">
        <f t="shared" si="12"/>
        <v>INDEC-PB - 2413-3</v>
      </c>
      <c r="B461" s="41">
        <v>2413</v>
      </c>
      <c r="C461" s="21" t="s">
        <v>46</v>
      </c>
      <c r="D461" s="8">
        <v>3</v>
      </c>
      <c r="E461" s="38" t="s">
        <v>520</v>
      </c>
    </row>
    <row r="462" spans="1:5" x14ac:dyDescent="0.25">
      <c r="A462" s="8" t="str">
        <f t="shared" si="12"/>
        <v>INDEC-PB - 2519-1</v>
      </c>
      <c r="B462" s="41">
        <v>2519</v>
      </c>
      <c r="C462" s="21" t="s">
        <v>46</v>
      </c>
      <c r="D462" s="8">
        <v>1</v>
      </c>
      <c r="E462" s="38" t="s">
        <v>521</v>
      </c>
    </row>
    <row r="463" spans="1:5" x14ac:dyDescent="0.25">
      <c r="A463" s="8" t="str">
        <f t="shared" si="12"/>
        <v>INDEC-PB - 2520-3</v>
      </c>
      <c r="B463" s="41">
        <v>2520</v>
      </c>
      <c r="C463" s="21" t="s">
        <v>46</v>
      </c>
      <c r="D463" s="8">
        <v>3</v>
      </c>
      <c r="E463" s="38" t="s">
        <v>522</v>
      </c>
    </row>
    <row r="464" spans="1:5" x14ac:dyDescent="0.25">
      <c r="A464" s="8" t="str">
        <f t="shared" si="12"/>
        <v>INDEC-PB - 2022-1</v>
      </c>
      <c r="B464" s="41">
        <v>2022</v>
      </c>
      <c r="C464" s="21" t="s">
        <v>46</v>
      </c>
      <c r="D464" s="8">
        <v>1</v>
      </c>
      <c r="E464" s="38" t="s">
        <v>523</v>
      </c>
    </row>
    <row r="465" spans="1:5" x14ac:dyDescent="0.25">
      <c r="A465" s="8" t="str">
        <f t="shared" si="12"/>
        <v>INDEC-PB - 2511-1</v>
      </c>
      <c r="B465" s="41">
        <v>2511</v>
      </c>
      <c r="C465" s="21" t="s">
        <v>46</v>
      </c>
      <c r="D465" s="8">
        <v>1</v>
      </c>
      <c r="E465" s="38" t="s">
        <v>524</v>
      </c>
    </row>
    <row r="466" spans="1:5" x14ac:dyDescent="0.25">
      <c r="A466" s="8" t="str">
        <f t="shared" si="12"/>
        <v>INDEC-PB - 2899-</v>
      </c>
      <c r="B466" s="41">
        <v>2899</v>
      </c>
      <c r="C466" s="21" t="s">
        <v>46</v>
      </c>
      <c r="E466" s="38" t="s">
        <v>525</v>
      </c>
    </row>
    <row r="467" spans="1:5" x14ac:dyDescent="0.25">
      <c r="A467" s="8" t="str">
        <f t="shared" si="12"/>
        <v>INDEC-PB - 3110-1</v>
      </c>
      <c r="B467" s="41">
        <v>3110</v>
      </c>
      <c r="C467" s="21" t="s">
        <v>46</v>
      </c>
      <c r="D467" s="8">
        <v>1</v>
      </c>
      <c r="E467" s="38" t="s">
        <v>526</v>
      </c>
    </row>
    <row r="468" spans="1:5" x14ac:dyDescent="0.25">
      <c r="A468" s="8" t="str">
        <f t="shared" si="12"/>
        <v>INDEC-PB - 2320-1</v>
      </c>
      <c r="B468" s="41">
        <v>2320</v>
      </c>
      <c r="C468" s="21" t="s">
        <v>46</v>
      </c>
      <c r="D468" s="8">
        <v>1</v>
      </c>
      <c r="E468" s="38" t="s">
        <v>527</v>
      </c>
    </row>
    <row r="469" spans="1:5" x14ac:dyDescent="0.25">
      <c r="A469" s="8" t="str">
        <f t="shared" si="12"/>
        <v>INDEC-PB - 2924-1</v>
      </c>
      <c r="B469" s="41">
        <v>2924</v>
      </c>
      <c r="C469" s="21" t="s">
        <v>46</v>
      </c>
      <c r="D469" s="8">
        <v>1</v>
      </c>
      <c r="E469" s="38" t="s">
        <v>528</v>
      </c>
    </row>
    <row r="470" spans="1:5" x14ac:dyDescent="0.25">
      <c r="A470" s="8" t="str">
        <f t="shared" si="12"/>
        <v>INDEC-PB - 2692-1</v>
      </c>
      <c r="B470" s="41">
        <v>2692</v>
      </c>
      <c r="C470" s="21" t="s">
        <v>46</v>
      </c>
      <c r="D470" s="8">
        <v>1</v>
      </c>
      <c r="E470" s="38" t="s">
        <v>529</v>
      </c>
    </row>
    <row r="471" spans="1:5" x14ac:dyDescent="0.25">
      <c r="A471" s="8" t="str">
        <f t="shared" si="12"/>
        <v>INDEC-PB - 3410-</v>
      </c>
      <c r="B471" s="41">
        <v>3410</v>
      </c>
      <c r="C471" s="21" t="s">
        <v>46</v>
      </c>
      <c r="E471" s="38" t="s">
        <v>530</v>
      </c>
    </row>
    <row r="472" spans="1:5" x14ac:dyDescent="0.25">
      <c r="A472" s="8" t="str">
        <f t="shared" si="12"/>
        <v>INDEC-PB - 2413-1</v>
      </c>
      <c r="B472" s="41">
        <v>2413</v>
      </c>
      <c r="C472" s="21" t="s">
        <v>46</v>
      </c>
      <c r="D472" s="8">
        <v>1</v>
      </c>
      <c r="E472" s="38" t="s">
        <v>531</v>
      </c>
    </row>
    <row r="473" spans="1:5" x14ac:dyDescent="0.25">
      <c r="A473" s="8" t="str">
        <f t="shared" si="12"/>
        <v>INDEC-PB - 291-</v>
      </c>
      <c r="B473" s="41">
        <v>291</v>
      </c>
      <c r="C473" s="21" t="s">
        <v>46</v>
      </c>
      <c r="E473" s="14" t="s">
        <v>532</v>
      </c>
    </row>
    <row r="474" spans="1:5" x14ac:dyDescent="0.25">
      <c r="A474" s="8" t="str">
        <f t="shared" si="12"/>
        <v>INDEC-PB - 2610-1</v>
      </c>
      <c r="B474" s="41">
        <v>2610</v>
      </c>
      <c r="C474" s="21" t="s">
        <v>46</v>
      </c>
      <c r="D474" s="8">
        <v>1</v>
      </c>
      <c r="E474" s="28" t="s">
        <v>533</v>
      </c>
    </row>
    <row r="475" spans="1:5" x14ac:dyDescent="0.25">
      <c r="A475" s="43"/>
      <c r="B475" s="45"/>
      <c r="C475" s="42"/>
      <c r="E475" s="28"/>
    </row>
    <row r="476" spans="1:5" x14ac:dyDescent="0.25">
      <c r="A476" s="43"/>
      <c r="B476" s="45"/>
      <c r="C476" s="42"/>
      <c r="E476" s="40" t="s">
        <v>489</v>
      </c>
    </row>
    <row r="477" spans="1:5" x14ac:dyDescent="0.25">
      <c r="A477" s="8" t="str">
        <f t="shared" ref="A477:A482" si="13">CONCATENATE("INDEC-PB - ",B477,C477,D477)</f>
        <v>INDEC-PB - 2710-1</v>
      </c>
      <c r="B477" s="46">
        <v>2710</v>
      </c>
      <c r="C477" s="21" t="s">
        <v>46</v>
      </c>
      <c r="D477" s="46">
        <v>1</v>
      </c>
      <c r="E477" s="14" t="s">
        <v>534</v>
      </c>
    </row>
    <row r="478" spans="1:5" x14ac:dyDescent="0.25">
      <c r="A478" s="8" t="str">
        <f t="shared" si="13"/>
        <v>INDEC-PB - 2720-1</v>
      </c>
      <c r="B478" s="46">
        <v>2720</v>
      </c>
      <c r="C478" s="21" t="s">
        <v>46</v>
      </c>
      <c r="D478" s="46">
        <v>1</v>
      </c>
      <c r="E478" s="28" t="s">
        <v>535</v>
      </c>
    </row>
    <row r="479" spans="1:5" x14ac:dyDescent="0.25">
      <c r="A479" s="8" t="str">
        <f t="shared" si="13"/>
        <v>INDEC-PB - 2922-1</v>
      </c>
      <c r="B479" s="43">
        <v>2922</v>
      </c>
      <c r="C479" s="21" t="s">
        <v>46</v>
      </c>
      <c r="D479" s="43">
        <v>1</v>
      </c>
      <c r="E479" s="28" t="s">
        <v>536</v>
      </c>
    </row>
    <row r="480" spans="1:5" x14ac:dyDescent="0.25">
      <c r="A480" s="8" t="str">
        <f t="shared" si="13"/>
        <v>INDEC-PB - 2913-1</v>
      </c>
      <c r="B480" s="43">
        <v>2913</v>
      </c>
      <c r="C480" s="21" t="s">
        <v>46</v>
      </c>
      <c r="D480" s="43">
        <v>1</v>
      </c>
      <c r="E480" s="28" t="s">
        <v>537</v>
      </c>
    </row>
    <row r="481" spans="1:7" x14ac:dyDescent="0.25">
      <c r="A481" s="8" t="str">
        <f t="shared" si="13"/>
        <v>INDEC-PB - 2413-1</v>
      </c>
      <c r="B481" s="43">
        <v>2413</v>
      </c>
      <c r="C481" s="21" t="s">
        <v>46</v>
      </c>
      <c r="D481" s="43">
        <v>1</v>
      </c>
      <c r="E481" s="28" t="s">
        <v>538</v>
      </c>
    </row>
    <row r="482" spans="1:7" x14ac:dyDescent="0.25">
      <c r="A482" s="8" t="str">
        <f t="shared" si="13"/>
        <v>INDEC-PB - 2411-1</v>
      </c>
      <c r="B482" s="43">
        <v>2411</v>
      </c>
      <c r="C482" s="21" t="s">
        <v>46</v>
      </c>
      <c r="D482" s="43">
        <v>1</v>
      </c>
      <c r="E482" s="28" t="s">
        <v>539</v>
      </c>
    </row>
    <row r="485" spans="1:7" x14ac:dyDescent="0.2">
      <c r="A485" s="47"/>
      <c r="B485" s="6" t="s">
        <v>575</v>
      </c>
      <c r="C485" s="47"/>
      <c r="D485" s="48"/>
    </row>
    <row r="487" spans="1:7" ht="11.25" customHeight="1" x14ac:dyDescent="0.25">
      <c r="A487" s="34"/>
      <c r="B487" s="619" t="s">
        <v>262</v>
      </c>
      <c r="C487" s="34"/>
      <c r="D487" s="34"/>
      <c r="E487" s="619" t="s">
        <v>263</v>
      </c>
      <c r="F487" s="619" t="s">
        <v>264</v>
      </c>
      <c r="G487" s="619" t="s">
        <v>265</v>
      </c>
    </row>
    <row r="488" spans="1:7" x14ac:dyDescent="0.25">
      <c r="A488" s="34"/>
      <c r="B488" s="619"/>
      <c r="C488" s="34"/>
      <c r="D488" s="34"/>
      <c r="E488" s="619"/>
      <c r="F488" s="619" t="s">
        <v>266</v>
      </c>
      <c r="G488" s="619"/>
    </row>
    <row r="489" spans="1:7" x14ac:dyDescent="0.25">
      <c r="A489" s="21"/>
      <c r="B489" s="21"/>
      <c r="C489" s="21"/>
      <c r="D489" s="24"/>
      <c r="E489" s="21"/>
      <c r="F489" s="21"/>
      <c r="G489" s="21"/>
    </row>
    <row r="490" spans="1:7" x14ac:dyDescent="0.25">
      <c r="A490" s="24" t="str">
        <f t="shared" ref="A490:A500" si="14">CONCATENATE("INDEC-DCTO - Inciso ",B490)</f>
        <v>INDEC-DCTO - Inciso a)</v>
      </c>
      <c r="B490" s="24" t="s">
        <v>267</v>
      </c>
      <c r="C490" s="24"/>
      <c r="D490" s="24"/>
      <c r="E490" s="21" t="s">
        <v>268</v>
      </c>
      <c r="F490" s="24" t="s">
        <v>269</v>
      </c>
      <c r="G490" s="21" t="s">
        <v>270</v>
      </c>
    </row>
    <row r="491" spans="1:7" x14ac:dyDescent="0.25">
      <c r="A491" s="24" t="str">
        <f t="shared" si="14"/>
        <v>INDEC-DCTO - Inciso b)</v>
      </c>
      <c r="B491" s="24" t="s">
        <v>271</v>
      </c>
      <c r="C491" s="24"/>
      <c r="D491" s="24"/>
      <c r="E491" s="21" t="s">
        <v>272</v>
      </c>
      <c r="F491" s="24" t="s">
        <v>273</v>
      </c>
      <c r="G491" s="21" t="s">
        <v>274</v>
      </c>
    </row>
    <row r="492" spans="1:7" x14ac:dyDescent="0.25">
      <c r="A492" s="24" t="str">
        <f t="shared" si="14"/>
        <v>INDEC-DCTO - Inciso d)</v>
      </c>
      <c r="B492" s="24" t="s">
        <v>275</v>
      </c>
      <c r="C492" s="24"/>
      <c r="D492" s="24"/>
      <c r="E492" s="21" t="s">
        <v>276</v>
      </c>
      <c r="F492" s="24" t="s">
        <v>273</v>
      </c>
      <c r="G492" s="21" t="s">
        <v>277</v>
      </c>
    </row>
    <row r="493" spans="1:7" ht="11.4" x14ac:dyDescent="0.25">
      <c r="A493" s="24" t="str">
        <f t="shared" si="14"/>
        <v>INDEC-DCTO - Inciso f)</v>
      </c>
      <c r="B493" s="24" t="s">
        <v>278</v>
      </c>
      <c r="C493" s="24"/>
      <c r="D493" s="24"/>
      <c r="E493" s="21" t="s">
        <v>279</v>
      </c>
      <c r="F493" s="24" t="s">
        <v>280</v>
      </c>
      <c r="G493" s="21" t="s">
        <v>281</v>
      </c>
    </row>
    <row r="494" spans="1:7" x14ac:dyDescent="0.25">
      <c r="A494" s="24" t="str">
        <f t="shared" si="14"/>
        <v>INDEC-DCTO - Inciso g)</v>
      </c>
      <c r="B494" s="24" t="s">
        <v>282</v>
      </c>
      <c r="C494" s="24"/>
      <c r="D494" s="24"/>
      <c r="E494" s="21" t="s">
        <v>283</v>
      </c>
      <c r="F494" s="24" t="s">
        <v>273</v>
      </c>
      <c r="G494" s="21" t="s">
        <v>284</v>
      </c>
    </row>
    <row r="495" spans="1:7" x14ac:dyDescent="0.25">
      <c r="A495" s="24" t="str">
        <f t="shared" si="14"/>
        <v>INDEC-DCTO - Inciso h)</v>
      </c>
      <c r="B495" s="24" t="s">
        <v>285</v>
      </c>
      <c r="C495" s="24"/>
      <c r="D495" s="24"/>
      <c r="E495" s="21" t="s">
        <v>286</v>
      </c>
      <c r="F495" s="24" t="s">
        <v>287</v>
      </c>
      <c r="G495" s="21" t="s">
        <v>288</v>
      </c>
    </row>
    <row r="496" spans="1:7" x14ac:dyDescent="0.25">
      <c r="A496" s="24" t="str">
        <f t="shared" si="14"/>
        <v>INDEC-DCTO - Inciso p)</v>
      </c>
      <c r="B496" s="24" t="s">
        <v>289</v>
      </c>
      <c r="C496" s="24"/>
      <c r="D496" s="24"/>
      <c r="E496" s="21" t="s">
        <v>290</v>
      </c>
      <c r="F496" s="24" t="s">
        <v>269</v>
      </c>
      <c r="G496" s="21" t="s">
        <v>291</v>
      </c>
    </row>
    <row r="497" spans="1:7" x14ac:dyDescent="0.25">
      <c r="A497" s="24" t="str">
        <f t="shared" si="14"/>
        <v>INDEC-DCTO - Inciso r)</v>
      </c>
      <c r="B497" s="24" t="s">
        <v>292</v>
      </c>
      <c r="C497" s="24"/>
      <c r="D497" s="24"/>
      <c r="E497" s="21" t="s">
        <v>293</v>
      </c>
      <c r="F497" s="24" t="s">
        <v>273</v>
      </c>
      <c r="G497" s="21" t="s">
        <v>294</v>
      </c>
    </row>
    <row r="498" spans="1:7" x14ac:dyDescent="0.25">
      <c r="A498" s="24" t="str">
        <f t="shared" si="14"/>
        <v>INDEC-DCTO - Inciso s)</v>
      </c>
      <c r="B498" s="24" t="s">
        <v>295</v>
      </c>
      <c r="C498" s="24"/>
      <c r="D498" s="24"/>
      <c r="E498" s="21" t="s">
        <v>296</v>
      </c>
      <c r="F498" s="24" t="s">
        <v>287</v>
      </c>
      <c r="G498" s="21" t="s">
        <v>166</v>
      </c>
    </row>
    <row r="499" spans="1:7" x14ac:dyDescent="0.25">
      <c r="A499" s="24" t="str">
        <f t="shared" si="14"/>
        <v>INDEC-DCTO - Inciso u)</v>
      </c>
      <c r="B499" s="24" t="s">
        <v>297</v>
      </c>
      <c r="C499" s="24"/>
      <c r="D499" s="24"/>
      <c r="E499" s="21" t="s">
        <v>298</v>
      </c>
      <c r="F499" s="24">
        <v>4324041</v>
      </c>
      <c r="G499" s="21" t="s">
        <v>189</v>
      </c>
    </row>
    <row r="500" spans="1:7" x14ac:dyDescent="0.25">
      <c r="A500" s="24" t="str">
        <f t="shared" si="14"/>
        <v>INDEC-DCTO - Inciso v)</v>
      </c>
      <c r="B500" s="24" t="s">
        <v>299</v>
      </c>
      <c r="C500" s="24"/>
      <c r="D500" s="24"/>
      <c r="E500" s="21" t="s">
        <v>300</v>
      </c>
      <c r="F500" s="24">
        <v>4322032</v>
      </c>
      <c r="G500" s="21" t="s">
        <v>134</v>
      </c>
    </row>
    <row r="501" spans="1:7" x14ac:dyDescent="0.25">
      <c r="A501" s="24"/>
      <c r="B501" s="24"/>
      <c r="C501" s="24"/>
      <c r="D501" s="24"/>
      <c r="E501" s="21"/>
      <c r="F501" s="24"/>
      <c r="G501" s="21"/>
    </row>
    <row r="502" spans="1:7" x14ac:dyDescent="0.25">
      <c r="A502" s="24" t="str">
        <f>CONCATENATE("INDEC-DCTO - Inciso ",B502)</f>
        <v>INDEC-DCTO - Inciso c)</v>
      </c>
      <c r="B502" s="24" t="s">
        <v>301</v>
      </c>
      <c r="C502" s="24"/>
      <c r="D502" s="24"/>
      <c r="E502" s="21" t="s">
        <v>302</v>
      </c>
      <c r="F502" s="24"/>
      <c r="G502" s="21" t="s">
        <v>576</v>
      </c>
    </row>
    <row r="503" spans="1:7" x14ac:dyDescent="0.25">
      <c r="A503" s="24" t="str">
        <f>CONCATENATE("INDEC-DCTO - Inciso ",B503)</f>
        <v>INDEC-DCTO - Inciso m)</v>
      </c>
      <c r="B503" s="24" t="s">
        <v>303</v>
      </c>
      <c r="C503" s="24"/>
      <c r="D503" s="24"/>
      <c r="E503" s="21" t="s">
        <v>304</v>
      </c>
      <c r="F503" s="24"/>
      <c r="G503" s="21" t="s">
        <v>577</v>
      </c>
    </row>
    <row r="504" spans="1:7" x14ac:dyDescent="0.25">
      <c r="A504" s="24" t="str">
        <f>CONCATENATE("INDEC-DCTO - Inciso ",B504)</f>
        <v>INDEC-DCTO - Inciso n)</v>
      </c>
      <c r="B504" s="24" t="s">
        <v>305</v>
      </c>
      <c r="C504" s="24"/>
      <c r="D504" s="24"/>
      <c r="E504" s="21" t="s">
        <v>306</v>
      </c>
      <c r="F504" s="24"/>
      <c r="G504" s="21" t="s">
        <v>578</v>
      </c>
    </row>
    <row r="505" spans="1:7" x14ac:dyDescent="0.25">
      <c r="A505" s="24" t="str">
        <f>CONCATENATE("INDEC-DCTO - Inciso ",B505)</f>
        <v>INDEC-DCTO - Inciso q)</v>
      </c>
      <c r="B505" s="24" t="s">
        <v>307</v>
      </c>
      <c r="C505" s="24"/>
      <c r="D505" s="24"/>
      <c r="E505" s="21" t="s">
        <v>308</v>
      </c>
      <c r="F505" s="24"/>
      <c r="G505" s="21" t="s">
        <v>579</v>
      </c>
    </row>
    <row r="508" spans="1:7" x14ac:dyDescent="0.25">
      <c r="B508" s="6" t="s">
        <v>580</v>
      </c>
    </row>
    <row r="511" spans="1:7" ht="11.25" customHeight="1" x14ac:dyDescent="0.25">
      <c r="A511" s="34"/>
      <c r="B511" s="619" t="s">
        <v>262</v>
      </c>
      <c r="C511" s="34"/>
      <c r="D511" s="34"/>
      <c r="E511" s="619" t="s">
        <v>263</v>
      </c>
      <c r="F511" s="619" t="s">
        <v>264</v>
      </c>
      <c r="G511" s="619" t="s">
        <v>265</v>
      </c>
    </row>
    <row r="512" spans="1:7" x14ac:dyDescent="0.25">
      <c r="A512" s="34"/>
      <c r="B512" s="619"/>
      <c r="C512" s="34"/>
      <c r="D512" s="34"/>
      <c r="E512" s="619"/>
      <c r="F512" s="619" t="s">
        <v>266</v>
      </c>
      <c r="G512" s="619"/>
    </row>
    <row r="513" spans="1:7" x14ac:dyDescent="0.25">
      <c r="A513" s="28"/>
      <c r="B513" s="28"/>
      <c r="C513" s="28"/>
      <c r="D513" s="29"/>
      <c r="E513" s="28"/>
      <c r="F513" s="28"/>
      <c r="G513" s="28"/>
    </row>
    <row r="514" spans="1:7" x14ac:dyDescent="0.25">
      <c r="A514" s="28"/>
      <c r="B514" s="28"/>
      <c r="C514" s="28"/>
      <c r="D514" s="29"/>
      <c r="E514" s="16" t="s">
        <v>512</v>
      </c>
      <c r="F514" s="28"/>
      <c r="G514" s="28"/>
    </row>
    <row r="515" spans="1:7" x14ac:dyDescent="0.25">
      <c r="A515" s="24" t="str">
        <f>CONCATENATE("INDEC-DCTO - Inciso ",B515)</f>
        <v>INDEC-DCTO - Inciso e)</v>
      </c>
      <c r="B515" s="8" t="s">
        <v>569</v>
      </c>
      <c r="C515" s="29"/>
      <c r="D515" s="29"/>
      <c r="E515" s="28" t="s">
        <v>551</v>
      </c>
      <c r="F515" s="29" t="s">
        <v>552</v>
      </c>
      <c r="G515" s="28" t="s">
        <v>553</v>
      </c>
    </row>
    <row r="516" spans="1:7" x14ac:dyDescent="0.25">
      <c r="A516" s="24" t="str">
        <f>CONCATENATE("INDEC-DCTO - Inciso ",B516)</f>
        <v>INDEC-DCTO - Inciso i)</v>
      </c>
      <c r="B516" s="8" t="s">
        <v>570</v>
      </c>
      <c r="C516" s="29"/>
      <c r="D516" s="29"/>
      <c r="E516" s="28" t="s">
        <v>554</v>
      </c>
      <c r="F516" s="29" t="s">
        <v>555</v>
      </c>
      <c r="G516" s="28" t="s">
        <v>556</v>
      </c>
    </row>
    <row r="517" spans="1:7" x14ac:dyDescent="0.25">
      <c r="A517" s="24" t="str">
        <f>CONCATENATE("INDEC-DCTO - Inciso ",B517)</f>
        <v>INDEC-DCTO - Inciso k)</v>
      </c>
      <c r="B517" s="8" t="s">
        <v>571</v>
      </c>
      <c r="C517" s="29"/>
      <c r="D517" s="29"/>
      <c r="E517" s="28" t="s">
        <v>557</v>
      </c>
      <c r="F517" s="29" t="s">
        <v>558</v>
      </c>
      <c r="G517" s="28" t="s">
        <v>559</v>
      </c>
    </row>
    <row r="518" spans="1:7" x14ac:dyDescent="0.25">
      <c r="A518" s="24" t="str">
        <f>CONCATENATE("INDEC-DCTO - Inciso ",B518)</f>
        <v>INDEC-DCTO - Inciso t)</v>
      </c>
      <c r="B518" s="8" t="s">
        <v>572</v>
      </c>
      <c r="C518" s="29"/>
      <c r="D518" s="29"/>
      <c r="E518" s="28" t="s">
        <v>560</v>
      </c>
      <c r="F518" s="29" t="s">
        <v>561</v>
      </c>
      <c r="G518" s="28" t="s">
        <v>562</v>
      </c>
    </row>
    <row r="519" spans="1:7" x14ac:dyDescent="0.25">
      <c r="A519" s="24" t="str">
        <f>CONCATENATE("INDEC-DCTO - Inciso ",B519)</f>
        <v>INDEC-DCTO - Inciso w)</v>
      </c>
      <c r="B519" s="8" t="s">
        <v>573</v>
      </c>
      <c r="C519" s="29"/>
      <c r="D519" s="29"/>
      <c r="E519" s="28" t="s">
        <v>563</v>
      </c>
      <c r="F519" s="29" t="s">
        <v>564</v>
      </c>
      <c r="G519" s="28" t="s">
        <v>565</v>
      </c>
    </row>
    <row r="520" spans="1:7" x14ac:dyDescent="0.25">
      <c r="A520" s="28"/>
      <c r="B520" s="8"/>
      <c r="C520" s="28"/>
      <c r="D520" s="29"/>
      <c r="E520" s="28"/>
      <c r="F520" s="29"/>
      <c r="G520" s="28"/>
    </row>
    <row r="521" spans="1:7" x14ac:dyDescent="0.25">
      <c r="A521" s="28"/>
      <c r="B521" s="8"/>
      <c r="C521" s="28"/>
      <c r="D521" s="29"/>
      <c r="E521" s="16" t="s">
        <v>489</v>
      </c>
      <c r="F521" s="29"/>
      <c r="G521" s="28"/>
    </row>
    <row r="522" spans="1:7" x14ac:dyDescent="0.25">
      <c r="A522" s="24" t="str">
        <f>CONCATENATE("INDEC-DCTO - Inciso ",B522)</f>
        <v>INDEC-DCTO - Inciso j)</v>
      </c>
      <c r="B522" s="8" t="s">
        <v>574</v>
      </c>
      <c r="C522" s="29"/>
      <c r="D522" s="29"/>
      <c r="E522" s="28" t="s">
        <v>566</v>
      </c>
      <c r="F522" s="29" t="s">
        <v>567</v>
      </c>
      <c r="G522" s="28" t="s">
        <v>568</v>
      </c>
    </row>
    <row r="523" spans="1:7" x14ac:dyDescent="0.25">
      <c r="A523" s="29"/>
      <c r="B523" s="29"/>
      <c r="C523" s="29"/>
      <c r="D523" s="29"/>
      <c r="E523" s="28"/>
      <c r="F523" s="29"/>
      <c r="G523" s="28"/>
    </row>
    <row r="526" spans="1:7" x14ac:dyDescent="0.25">
      <c r="A526" s="14"/>
      <c r="B526" s="17"/>
      <c r="C526" s="14"/>
      <c r="D526" s="15"/>
      <c r="E526" s="14"/>
    </row>
    <row r="528" spans="1:7" x14ac:dyDescent="0.25">
      <c r="A528" s="19"/>
      <c r="B528" s="6" t="s">
        <v>309</v>
      </c>
      <c r="C528" s="19"/>
      <c r="D528" s="20"/>
    </row>
    <row r="529" spans="1:5" x14ac:dyDescent="0.25">
      <c r="A529" s="21"/>
      <c r="B529" s="21"/>
      <c r="C529" s="21"/>
      <c r="D529" s="24"/>
    </row>
    <row r="530" spans="1:5" x14ac:dyDescent="0.25">
      <c r="A530" s="620" t="s">
        <v>348</v>
      </c>
      <c r="B530" s="619" t="s">
        <v>43</v>
      </c>
      <c r="C530" s="619"/>
      <c r="D530" s="619"/>
      <c r="E530" s="620" t="s">
        <v>44</v>
      </c>
    </row>
    <row r="531" spans="1:5" x14ac:dyDescent="0.25">
      <c r="A531" s="620"/>
      <c r="B531" s="619" t="s">
        <v>45</v>
      </c>
      <c r="C531" s="619"/>
      <c r="D531" s="619"/>
      <c r="E531" s="620"/>
    </row>
    <row r="532" spans="1:5" x14ac:dyDescent="0.25">
      <c r="A532" s="8" t="str">
        <f t="shared" ref="A532:A553" si="15">CONCATENATE("INDEC-GG ",B532,C532,D532)</f>
        <v>INDEC-GG 18000-1</v>
      </c>
      <c r="B532" s="27">
        <v>18000</v>
      </c>
      <c r="C532" s="27" t="s">
        <v>46</v>
      </c>
      <c r="D532" s="24">
        <v>1</v>
      </c>
      <c r="E532" s="27" t="s">
        <v>310</v>
      </c>
    </row>
    <row r="533" spans="1:5" x14ac:dyDescent="0.25">
      <c r="A533" s="8" t="str">
        <f t="shared" si="15"/>
        <v>INDEC-GG 83107-1</v>
      </c>
      <c r="B533" s="27">
        <v>83107</v>
      </c>
      <c r="C533" s="27" t="s">
        <v>46</v>
      </c>
      <c r="D533" s="24">
        <v>1</v>
      </c>
      <c r="E533" s="27" t="s">
        <v>311</v>
      </c>
    </row>
    <row r="534" spans="1:5" x14ac:dyDescent="0.25">
      <c r="A534" s="8" t="str">
        <f t="shared" si="15"/>
        <v>INDEC-GG 71240-11</v>
      </c>
      <c r="B534" s="27">
        <v>71240</v>
      </c>
      <c r="C534" s="27" t="s">
        <v>46</v>
      </c>
      <c r="D534" s="24">
        <v>11</v>
      </c>
      <c r="E534" s="23" t="s">
        <v>312</v>
      </c>
    </row>
    <row r="535" spans="1:5" x14ac:dyDescent="0.25">
      <c r="A535" s="8" t="str">
        <f t="shared" si="15"/>
        <v>INDEC-GG 71233-11</v>
      </c>
      <c r="B535" s="27">
        <v>71233</v>
      </c>
      <c r="C535" s="27" t="s">
        <v>46</v>
      </c>
      <c r="D535" s="24">
        <v>11</v>
      </c>
      <c r="E535" s="23" t="s">
        <v>313</v>
      </c>
    </row>
    <row r="536" spans="1:5" x14ac:dyDescent="0.25">
      <c r="A536" s="8" t="str">
        <f t="shared" si="15"/>
        <v>INDEC-GG 51800-11</v>
      </c>
      <c r="B536" s="27">
        <v>51800</v>
      </c>
      <c r="C536" s="27" t="s">
        <v>46</v>
      </c>
      <c r="D536" s="24">
        <v>11</v>
      </c>
      <c r="E536" s="23" t="s">
        <v>314</v>
      </c>
    </row>
    <row r="537" spans="1:5" x14ac:dyDescent="0.25">
      <c r="A537" s="8" t="str">
        <f t="shared" si="15"/>
        <v>INDEC-GG 51800-21</v>
      </c>
      <c r="B537" s="27">
        <v>51800</v>
      </c>
      <c r="C537" s="27" t="s">
        <v>46</v>
      </c>
      <c r="D537" s="24">
        <v>21</v>
      </c>
      <c r="E537" s="27" t="s">
        <v>315</v>
      </c>
    </row>
    <row r="538" spans="1:5" x14ac:dyDescent="0.25">
      <c r="A538" s="8" t="str">
        <f t="shared" si="15"/>
        <v>INDEC-GG 74110-11</v>
      </c>
      <c r="B538" s="27">
        <v>74110</v>
      </c>
      <c r="C538" s="27" t="s">
        <v>46</v>
      </c>
      <c r="D538" s="24">
        <v>11</v>
      </c>
      <c r="E538" s="23" t="s">
        <v>316</v>
      </c>
    </row>
    <row r="539" spans="1:5" x14ac:dyDescent="0.25">
      <c r="A539" s="8" t="str">
        <f t="shared" si="15"/>
        <v>INDEC-GG 51560-31</v>
      </c>
      <c r="B539" s="27">
        <v>51560</v>
      </c>
      <c r="C539" s="27" t="s">
        <v>46</v>
      </c>
      <c r="D539" s="24">
        <v>31</v>
      </c>
      <c r="E539" s="27" t="s">
        <v>317</v>
      </c>
    </row>
    <row r="540" spans="1:5" x14ac:dyDescent="0.25">
      <c r="A540" s="8" t="str">
        <f t="shared" si="15"/>
        <v>INDEC-GG 53111-1</v>
      </c>
      <c r="B540" s="27">
        <v>53111</v>
      </c>
      <c r="C540" s="27" t="s">
        <v>46</v>
      </c>
      <c r="D540" s="24">
        <v>1</v>
      </c>
      <c r="E540" s="23" t="s">
        <v>318</v>
      </c>
    </row>
    <row r="541" spans="1:5" x14ac:dyDescent="0.25">
      <c r="A541" s="8" t="str">
        <f t="shared" si="15"/>
        <v>INDEC-GG 54400-1</v>
      </c>
      <c r="B541" s="27">
        <v>54400</v>
      </c>
      <c r="C541" s="27" t="s">
        <v>46</v>
      </c>
      <c r="D541" s="24">
        <v>1</v>
      </c>
      <c r="E541" s="23" t="s">
        <v>319</v>
      </c>
    </row>
    <row r="542" spans="1:5" x14ac:dyDescent="0.25">
      <c r="A542" s="8" t="str">
        <f t="shared" si="15"/>
        <v>INDEC-GG 18000-21</v>
      </c>
      <c r="B542" s="27">
        <v>18000</v>
      </c>
      <c r="C542" s="27" t="s">
        <v>46</v>
      </c>
      <c r="D542" s="24">
        <v>21</v>
      </c>
      <c r="E542" s="23" t="s">
        <v>320</v>
      </c>
    </row>
    <row r="543" spans="1:5" x14ac:dyDescent="0.25">
      <c r="A543" s="8" t="str">
        <f t="shared" si="15"/>
        <v>INDEC-GG 18000-22</v>
      </c>
      <c r="B543" s="27">
        <v>18000</v>
      </c>
      <c r="C543" s="27" t="s">
        <v>46</v>
      </c>
      <c r="D543" s="24">
        <v>22</v>
      </c>
      <c r="E543" s="23" t="s">
        <v>321</v>
      </c>
    </row>
    <row r="544" spans="1:5" x14ac:dyDescent="0.25">
      <c r="A544" s="8" t="str">
        <f t="shared" si="15"/>
        <v>INDEC-GG 88700-2</v>
      </c>
      <c r="B544" s="27">
        <v>88700</v>
      </c>
      <c r="C544" s="27" t="s">
        <v>46</v>
      </c>
      <c r="D544" s="24">
        <v>2</v>
      </c>
      <c r="E544" s="23" t="s">
        <v>322</v>
      </c>
    </row>
    <row r="545" spans="1:5" x14ac:dyDescent="0.25">
      <c r="A545" s="8" t="str">
        <f t="shared" si="15"/>
        <v>INDEC-GG 88700-31</v>
      </c>
      <c r="B545" s="27">
        <v>88700</v>
      </c>
      <c r="C545" s="27" t="s">
        <v>46</v>
      </c>
      <c r="D545" s="24">
        <v>31</v>
      </c>
      <c r="E545" s="27" t="s">
        <v>323</v>
      </c>
    </row>
    <row r="546" spans="1:5" x14ac:dyDescent="0.25">
      <c r="A546" s="8" t="str">
        <f t="shared" si="15"/>
        <v>INDEC-GG DEP-EQ</v>
      </c>
      <c r="B546" s="27" t="s">
        <v>1114</v>
      </c>
      <c r="C546" s="27"/>
      <c r="D546" s="24"/>
      <c r="E546" s="27" t="s">
        <v>324</v>
      </c>
    </row>
    <row r="547" spans="1:5" x14ac:dyDescent="0.25">
      <c r="A547" s="8" t="str">
        <f t="shared" si="15"/>
        <v>INDEC-GG 88700-1</v>
      </c>
      <c r="B547" s="27">
        <v>88700</v>
      </c>
      <c r="C547" s="27" t="s">
        <v>46</v>
      </c>
      <c r="D547" s="24">
        <v>1</v>
      </c>
      <c r="E547" s="27" t="s">
        <v>325</v>
      </c>
    </row>
    <row r="548" spans="1:5" x14ac:dyDescent="0.25">
      <c r="A548" s="8" t="str">
        <f t="shared" si="15"/>
        <v>INDEC-GG 31210-11</v>
      </c>
      <c r="B548" s="27">
        <v>31210</v>
      </c>
      <c r="C548" s="27" t="s">
        <v>46</v>
      </c>
      <c r="D548" s="24">
        <v>11</v>
      </c>
      <c r="E548" s="27" t="s">
        <v>326</v>
      </c>
    </row>
    <row r="549" spans="1:5" x14ac:dyDescent="0.25">
      <c r="A549" s="8" t="str">
        <f t="shared" si="15"/>
        <v>INDEC-GG 81295-1</v>
      </c>
      <c r="B549" s="27">
        <v>81295</v>
      </c>
      <c r="C549" s="27" t="s">
        <v>46</v>
      </c>
      <c r="D549" s="24">
        <v>1</v>
      </c>
      <c r="E549" s="27" t="s">
        <v>327</v>
      </c>
    </row>
    <row r="550" spans="1:5" x14ac:dyDescent="0.25">
      <c r="A550" s="8" t="str">
        <f t="shared" si="15"/>
        <v>INDEC-GG 81297-1</v>
      </c>
      <c r="B550" s="27">
        <v>81297</v>
      </c>
      <c r="C550" s="27" t="s">
        <v>46</v>
      </c>
      <c r="D550" s="24">
        <v>1</v>
      </c>
      <c r="E550" s="23" t="s">
        <v>328</v>
      </c>
    </row>
    <row r="551" spans="1:5" x14ac:dyDescent="0.25">
      <c r="A551" s="8" t="str">
        <f t="shared" si="15"/>
        <v>INDEC-GG 51560-21</v>
      </c>
      <c r="B551" s="27">
        <v>51560</v>
      </c>
      <c r="C551" s="27" t="s">
        <v>46</v>
      </c>
      <c r="D551" s="24">
        <v>21</v>
      </c>
      <c r="E551" s="27" t="s">
        <v>329</v>
      </c>
    </row>
    <row r="552" spans="1:5" x14ac:dyDescent="0.25">
      <c r="A552" s="8" t="str">
        <f t="shared" si="15"/>
        <v>INDEC-GG 31100-11</v>
      </c>
      <c r="B552" s="27">
        <v>31100</v>
      </c>
      <c r="C552" s="27" t="s">
        <v>46</v>
      </c>
      <c r="D552" s="24">
        <v>11</v>
      </c>
      <c r="E552" s="27" t="s">
        <v>330</v>
      </c>
    </row>
    <row r="553" spans="1:5" x14ac:dyDescent="0.25">
      <c r="A553" s="8" t="str">
        <f t="shared" si="15"/>
        <v>INDEC-GG 53211-11</v>
      </c>
      <c r="B553" s="27">
        <v>53211</v>
      </c>
      <c r="C553" s="27" t="s">
        <v>46</v>
      </c>
      <c r="D553" s="24">
        <v>11</v>
      </c>
      <c r="E553" s="23" t="s">
        <v>331</v>
      </c>
    </row>
    <row r="556" spans="1:5" x14ac:dyDescent="0.25">
      <c r="B556" s="6" t="s">
        <v>729</v>
      </c>
    </row>
    <row r="557" spans="1:5" x14ac:dyDescent="0.25">
      <c r="B557" s="6" t="s">
        <v>730</v>
      </c>
    </row>
    <row r="559" spans="1:5" x14ac:dyDescent="0.25">
      <c r="A559" s="8" t="str">
        <f t="shared" ref="A559:A590" si="16">CONCATENATE("DNV-T I - ",B559)</f>
        <v>DNV-T I - 1</v>
      </c>
      <c r="B559" s="10">
        <v>1</v>
      </c>
      <c r="E559" s="10" t="s">
        <v>268</v>
      </c>
    </row>
    <row r="560" spans="1:5" x14ac:dyDescent="0.25">
      <c r="A560" s="8" t="str">
        <f t="shared" si="16"/>
        <v>DNV-T I - 2</v>
      </c>
      <c r="B560" s="10">
        <v>2</v>
      </c>
      <c r="E560" s="10" t="s">
        <v>731</v>
      </c>
    </row>
    <row r="561" spans="1:5" x14ac:dyDescent="0.25">
      <c r="A561" s="8" t="str">
        <f t="shared" si="16"/>
        <v>DNV-T I - 3</v>
      </c>
      <c r="B561" s="10">
        <v>3</v>
      </c>
      <c r="E561" s="10" t="s">
        <v>732</v>
      </c>
    </row>
    <row r="562" spans="1:5" x14ac:dyDescent="0.25">
      <c r="A562" s="8" t="str">
        <f t="shared" si="16"/>
        <v>DNV-T I - 4</v>
      </c>
      <c r="B562" s="10">
        <v>4</v>
      </c>
      <c r="E562" s="10" t="s">
        <v>733</v>
      </c>
    </row>
    <row r="563" spans="1:5" x14ac:dyDescent="0.25">
      <c r="A563" s="8" t="str">
        <f t="shared" si="16"/>
        <v>DNV-T I - 5</v>
      </c>
      <c r="B563" s="10">
        <v>5</v>
      </c>
      <c r="E563" s="10" t="s">
        <v>734</v>
      </c>
    </row>
    <row r="564" spans="1:5" x14ac:dyDescent="0.25">
      <c r="A564" s="8" t="str">
        <f t="shared" si="16"/>
        <v>DNV-T I - 6</v>
      </c>
      <c r="B564" s="10">
        <v>6</v>
      </c>
      <c r="E564" s="10" t="s">
        <v>735</v>
      </c>
    </row>
    <row r="565" spans="1:5" x14ac:dyDescent="0.25">
      <c r="A565" s="8" t="str">
        <f t="shared" si="16"/>
        <v>DNV-T I - 7</v>
      </c>
      <c r="B565" s="10">
        <v>7</v>
      </c>
      <c r="E565" s="10" t="s">
        <v>736</v>
      </c>
    </row>
    <row r="566" spans="1:5" x14ac:dyDescent="0.25">
      <c r="A566" s="8" t="str">
        <f t="shared" si="16"/>
        <v>DNV-T I - 8</v>
      </c>
      <c r="B566" s="10">
        <v>8</v>
      </c>
      <c r="E566" s="10" t="s">
        <v>737</v>
      </c>
    </row>
    <row r="567" spans="1:5" x14ac:dyDescent="0.25">
      <c r="A567" s="8" t="str">
        <f t="shared" si="16"/>
        <v>DNV-T I - 9</v>
      </c>
      <c r="B567" s="10">
        <v>9</v>
      </c>
      <c r="E567" s="10" t="s">
        <v>738</v>
      </c>
    </row>
    <row r="568" spans="1:5" x14ac:dyDescent="0.25">
      <c r="A568" s="8" t="str">
        <f t="shared" si="16"/>
        <v>DNV-T I - 10</v>
      </c>
      <c r="B568" s="10">
        <v>10</v>
      </c>
      <c r="E568" s="10" t="s">
        <v>739</v>
      </c>
    </row>
    <row r="569" spans="1:5" x14ac:dyDescent="0.25">
      <c r="A569" s="8" t="str">
        <f t="shared" si="16"/>
        <v>DNV-T I - 11</v>
      </c>
      <c r="B569" s="10">
        <v>11</v>
      </c>
      <c r="E569" s="10" t="s">
        <v>740</v>
      </c>
    </row>
    <row r="570" spans="1:5" x14ac:dyDescent="0.25">
      <c r="A570" s="8" t="str">
        <f t="shared" si="16"/>
        <v>DNV-T I - 12</v>
      </c>
      <c r="B570" s="10">
        <v>12</v>
      </c>
      <c r="E570" s="10" t="s">
        <v>741</v>
      </c>
    </row>
    <row r="571" spans="1:5" x14ac:dyDescent="0.25">
      <c r="A571" s="8" t="str">
        <f t="shared" si="16"/>
        <v>DNV-T I - 13</v>
      </c>
      <c r="B571" s="10">
        <v>13</v>
      </c>
      <c r="E571" s="10" t="s">
        <v>742</v>
      </c>
    </row>
    <row r="572" spans="1:5" x14ac:dyDescent="0.25">
      <c r="A572" s="8" t="str">
        <f t="shared" si="16"/>
        <v>DNV-T I - 14</v>
      </c>
      <c r="B572" s="10">
        <v>14</v>
      </c>
      <c r="E572" s="10" t="s">
        <v>743</v>
      </c>
    </row>
    <row r="573" spans="1:5" x14ac:dyDescent="0.25">
      <c r="A573" s="8" t="str">
        <f t="shared" si="16"/>
        <v>DNV-T I - 15</v>
      </c>
      <c r="B573" s="10">
        <v>15</v>
      </c>
      <c r="E573" s="10" t="s">
        <v>744</v>
      </c>
    </row>
    <row r="574" spans="1:5" x14ac:dyDescent="0.25">
      <c r="A574" s="8" t="str">
        <f t="shared" si="16"/>
        <v>DNV-T I - 16</v>
      </c>
      <c r="B574" s="10">
        <v>16</v>
      </c>
      <c r="E574" s="10" t="s">
        <v>745</v>
      </c>
    </row>
    <row r="575" spans="1:5" x14ac:dyDescent="0.25">
      <c r="A575" s="8" t="str">
        <f t="shared" si="16"/>
        <v>DNV-T I - 17</v>
      </c>
      <c r="B575" s="10">
        <v>17</v>
      </c>
      <c r="E575" s="10" t="s">
        <v>746</v>
      </c>
    </row>
    <row r="576" spans="1:5" x14ac:dyDescent="0.25">
      <c r="A576" s="8" t="str">
        <f t="shared" si="16"/>
        <v>DNV-T I - 18</v>
      </c>
      <c r="B576" s="10">
        <v>18</v>
      </c>
      <c r="E576" s="10" t="s">
        <v>747</v>
      </c>
    </row>
    <row r="577" spans="1:5" x14ac:dyDescent="0.25">
      <c r="A577" s="8" t="str">
        <f t="shared" si="16"/>
        <v>DNV-T I - 19</v>
      </c>
      <c r="B577" s="10">
        <v>19</v>
      </c>
      <c r="E577" s="10" t="s">
        <v>748</v>
      </c>
    </row>
    <row r="578" spans="1:5" x14ac:dyDescent="0.25">
      <c r="A578" s="8" t="str">
        <f t="shared" si="16"/>
        <v>DNV-T I - 20</v>
      </c>
      <c r="B578" s="10">
        <v>20</v>
      </c>
      <c r="E578" s="10" t="s">
        <v>749</v>
      </c>
    </row>
    <row r="579" spans="1:5" x14ac:dyDescent="0.25">
      <c r="A579" s="8" t="str">
        <f t="shared" si="16"/>
        <v>DNV-T I - 21</v>
      </c>
      <c r="B579" s="10">
        <v>21</v>
      </c>
      <c r="E579" s="10" t="s">
        <v>750</v>
      </c>
    </row>
    <row r="580" spans="1:5" x14ac:dyDescent="0.25">
      <c r="A580" s="8" t="str">
        <f t="shared" si="16"/>
        <v>DNV-T I - 22</v>
      </c>
      <c r="B580" s="10">
        <v>22</v>
      </c>
      <c r="E580" s="10" t="s">
        <v>751</v>
      </c>
    </row>
    <row r="581" spans="1:5" x14ac:dyDescent="0.25">
      <c r="A581" s="8" t="str">
        <f t="shared" si="16"/>
        <v>DNV-T I - 23</v>
      </c>
      <c r="B581" s="10">
        <v>23</v>
      </c>
      <c r="E581" s="10" t="s">
        <v>752</v>
      </c>
    </row>
    <row r="582" spans="1:5" x14ac:dyDescent="0.25">
      <c r="A582" s="8" t="str">
        <f t="shared" si="16"/>
        <v>DNV-T I - 24</v>
      </c>
      <c r="B582" s="10">
        <v>24</v>
      </c>
      <c r="E582" s="10" t="s">
        <v>753</v>
      </c>
    </row>
    <row r="583" spans="1:5" x14ac:dyDescent="0.25">
      <c r="A583" s="8" t="str">
        <f t="shared" si="16"/>
        <v>DNV-T I - 25</v>
      </c>
      <c r="B583" s="10">
        <v>25</v>
      </c>
      <c r="E583" s="10" t="s">
        <v>754</v>
      </c>
    </row>
    <row r="584" spans="1:5" x14ac:dyDescent="0.25">
      <c r="A584" s="8" t="str">
        <f t="shared" si="16"/>
        <v>DNV-T I - 26</v>
      </c>
      <c r="B584" s="10">
        <v>26</v>
      </c>
      <c r="E584" s="10" t="s">
        <v>755</v>
      </c>
    </row>
    <row r="585" spans="1:5" x14ac:dyDescent="0.25">
      <c r="A585" s="8" t="str">
        <f t="shared" si="16"/>
        <v>DNV-T I - 27</v>
      </c>
      <c r="B585" s="10">
        <v>27</v>
      </c>
      <c r="E585" s="10" t="s">
        <v>756</v>
      </c>
    </row>
    <row r="586" spans="1:5" x14ac:dyDescent="0.25">
      <c r="A586" s="8" t="str">
        <f t="shared" si="16"/>
        <v>DNV-T I - 28</v>
      </c>
      <c r="B586" s="10">
        <v>28</v>
      </c>
      <c r="E586" s="10" t="s">
        <v>757</v>
      </c>
    </row>
    <row r="587" spans="1:5" x14ac:dyDescent="0.25">
      <c r="A587" s="8" t="str">
        <f t="shared" si="16"/>
        <v>DNV-T I - 29</v>
      </c>
      <c r="B587" s="10">
        <v>29</v>
      </c>
      <c r="E587" s="10" t="s">
        <v>758</v>
      </c>
    </row>
    <row r="588" spans="1:5" x14ac:dyDescent="0.25">
      <c r="A588" s="8" t="str">
        <f t="shared" si="16"/>
        <v>DNV-T I - 30</v>
      </c>
      <c r="B588" s="10">
        <v>30</v>
      </c>
      <c r="E588" s="10" t="s">
        <v>759</v>
      </c>
    </row>
    <row r="589" spans="1:5" x14ac:dyDescent="0.25">
      <c r="A589" s="8" t="str">
        <f t="shared" si="16"/>
        <v>DNV-T I - 31</v>
      </c>
      <c r="B589" s="10">
        <v>31</v>
      </c>
      <c r="E589" s="10" t="s">
        <v>760</v>
      </c>
    </row>
    <row r="590" spans="1:5" x14ac:dyDescent="0.25">
      <c r="A590" s="8" t="str">
        <f t="shared" si="16"/>
        <v>DNV-T I - 32</v>
      </c>
      <c r="B590" s="10">
        <v>32</v>
      </c>
      <c r="E590" s="10" t="s">
        <v>761</v>
      </c>
    </row>
    <row r="591" spans="1:5" x14ac:dyDescent="0.25">
      <c r="A591" s="8" t="str">
        <f t="shared" ref="A591:A622" si="17">CONCATENATE("DNV-T I - ",B591)</f>
        <v>DNV-T I - 33</v>
      </c>
      <c r="B591" s="10">
        <v>33</v>
      </c>
      <c r="E591" s="10" t="s">
        <v>762</v>
      </c>
    </row>
    <row r="592" spans="1:5" x14ac:dyDescent="0.25">
      <c r="A592" s="8" t="str">
        <f t="shared" si="17"/>
        <v>DNV-T I - 34</v>
      </c>
      <c r="B592" s="10">
        <v>34</v>
      </c>
      <c r="E592" s="10" t="s">
        <v>763</v>
      </c>
    </row>
    <row r="593" spans="1:5" x14ac:dyDescent="0.25">
      <c r="A593" s="8" t="str">
        <f t="shared" si="17"/>
        <v>DNV-T I - 35</v>
      </c>
      <c r="B593" s="10">
        <v>35</v>
      </c>
      <c r="E593" s="10" t="s">
        <v>764</v>
      </c>
    </row>
    <row r="594" spans="1:5" x14ac:dyDescent="0.25">
      <c r="A594" s="8" t="str">
        <f t="shared" si="17"/>
        <v>DNV-T I - 36</v>
      </c>
      <c r="B594" s="10">
        <v>36</v>
      </c>
      <c r="E594" s="10" t="s">
        <v>765</v>
      </c>
    </row>
    <row r="595" spans="1:5" x14ac:dyDescent="0.25">
      <c r="A595" s="8" t="str">
        <f t="shared" si="17"/>
        <v>DNV-T I - 37</v>
      </c>
      <c r="B595" s="10">
        <v>37</v>
      </c>
      <c r="E595" s="10" t="s">
        <v>766</v>
      </c>
    </row>
    <row r="596" spans="1:5" x14ac:dyDescent="0.25">
      <c r="A596" s="8" t="str">
        <f t="shared" si="17"/>
        <v>DNV-T I - 38</v>
      </c>
      <c r="B596" s="10">
        <v>38</v>
      </c>
      <c r="E596" s="10" t="s">
        <v>767</v>
      </c>
    </row>
    <row r="597" spans="1:5" x14ac:dyDescent="0.25">
      <c r="A597" s="8" t="str">
        <f t="shared" si="17"/>
        <v>DNV-T I - 39</v>
      </c>
      <c r="B597" s="10">
        <v>39</v>
      </c>
      <c r="E597" s="10" t="s">
        <v>768</v>
      </c>
    </row>
    <row r="598" spans="1:5" x14ac:dyDescent="0.25">
      <c r="A598" s="8" t="str">
        <f t="shared" si="17"/>
        <v>DNV-T I - 40</v>
      </c>
      <c r="B598" s="10">
        <v>40</v>
      </c>
      <c r="E598" s="10" t="s">
        <v>769</v>
      </c>
    </row>
    <row r="599" spans="1:5" x14ac:dyDescent="0.25">
      <c r="A599" s="8" t="str">
        <f t="shared" si="17"/>
        <v>DNV-T I - 41</v>
      </c>
      <c r="B599" s="10">
        <v>41</v>
      </c>
      <c r="E599" s="10" t="s">
        <v>770</v>
      </c>
    </row>
    <row r="600" spans="1:5" x14ac:dyDescent="0.25">
      <c r="A600" s="8" t="str">
        <f t="shared" si="17"/>
        <v>DNV-T I - 42</v>
      </c>
      <c r="B600" s="10">
        <v>42</v>
      </c>
      <c r="E600" s="10" t="s">
        <v>771</v>
      </c>
    </row>
    <row r="601" spans="1:5" x14ac:dyDescent="0.25">
      <c r="A601" s="8" t="str">
        <f t="shared" si="17"/>
        <v>DNV-T I - 43</v>
      </c>
      <c r="B601" s="10">
        <v>43</v>
      </c>
      <c r="E601" s="10" t="s">
        <v>772</v>
      </c>
    </row>
    <row r="602" spans="1:5" x14ac:dyDescent="0.25">
      <c r="A602" s="8" t="str">
        <f t="shared" si="17"/>
        <v>DNV-T I - 44</v>
      </c>
      <c r="B602" s="10">
        <v>44</v>
      </c>
      <c r="E602" s="10" t="s">
        <v>773</v>
      </c>
    </row>
    <row r="603" spans="1:5" x14ac:dyDescent="0.25">
      <c r="A603" s="8" t="str">
        <f t="shared" si="17"/>
        <v>DNV-T I - 45</v>
      </c>
      <c r="B603" s="10">
        <v>45</v>
      </c>
      <c r="E603" s="10" t="s">
        <v>774</v>
      </c>
    </row>
    <row r="604" spans="1:5" x14ac:dyDescent="0.25">
      <c r="A604" s="8" t="str">
        <f t="shared" si="17"/>
        <v>DNV-T I - 46</v>
      </c>
      <c r="B604" s="10">
        <v>46</v>
      </c>
      <c r="E604" s="10" t="s">
        <v>775</v>
      </c>
    </row>
    <row r="605" spans="1:5" x14ac:dyDescent="0.25">
      <c r="A605" s="8" t="str">
        <f t="shared" si="17"/>
        <v>DNV-T I - 47</v>
      </c>
      <c r="B605" s="10">
        <v>47</v>
      </c>
      <c r="E605" s="10" t="s">
        <v>776</v>
      </c>
    </row>
    <row r="606" spans="1:5" x14ac:dyDescent="0.25">
      <c r="A606" s="8" t="str">
        <f t="shared" si="17"/>
        <v>DNV-T I - 48</v>
      </c>
      <c r="B606" s="10">
        <v>48</v>
      </c>
      <c r="E606" s="10" t="s">
        <v>777</v>
      </c>
    </row>
    <row r="607" spans="1:5" x14ac:dyDescent="0.25">
      <c r="A607" s="8" t="str">
        <f t="shared" si="17"/>
        <v>DNV-T I - 49</v>
      </c>
      <c r="B607" s="10">
        <v>49</v>
      </c>
      <c r="E607" s="10" t="s">
        <v>778</v>
      </c>
    </row>
    <row r="608" spans="1:5" x14ac:dyDescent="0.25">
      <c r="A608" s="8" t="str">
        <f t="shared" si="17"/>
        <v>DNV-T I - 50</v>
      </c>
      <c r="B608" s="10">
        <v>50</v>
      </c>
      <c r="E608" s="10" t="s">
        <v>779</v>
      </c>
    </row>
    <row r="609" spans="1:5" x14ac:dyDescent="0.25">
      <c r="A609" s="8" t="str">
        <f t="shared" si="17"/>
        <v>DNV-T I - 51</v>
      </c>
      <c r="B609" s="10">
        <v>51</v>
      </c>
      <c r="E609" s="10" t="s">
        <v>780</v>
      </c>
    </row>
    <row r="610" spans="1:5" x14ac:dyDescent="0.25">
      <c r="A610" s="8" t="str">
        <f t="shared" si="17"/>
        <v>DNV-T I - 52</v>
      </c>
      <c r="B610" s="10">
        <v>52</v>
      </c>
      <c r="E610" s="10" t="s">
        <v>781</v>
      </c>
    </row>
    <row r="611" spans="1:5" x14ac:dyDescent="0.25">
      <c r="A611" s="8" t="str">
        <f t="shared" si="17"/>
        <v>DNV-T I - 53</v>
      </c>
      <c r="B611" s="10">
        <v>53</v>
      </c>
      <c r="E611" s="10" t="s">
        <v>782</v>
      </c>
    </row>
    <row r="612" spans="1:5" x14ac:dyDescent="0.25">
      <c r="A612" s="8" t="str">
        <f t="shared" si="17"/>
        <v>DNV-T I - 54</v>
      </c>
      <c r="B612" s="10">
        <v>54</v>
      </c>
      <c r="E612" s="10" t="s">
        <v>783</v>
      </c>
    </row>
    <row r="613" spans="1:5" x14ac:dyDescent="0.25">
      <c r="A613" s="8" t="str">
        <f t="shared" si="17"/>
        <v>DNV-T I - 55</v>
      </c>
      <c r="B613" s="10">
        <v>55</v>
      </c>
      <c r="E613" s="10" t="s">
        <v>784</v>
      </c>
    </row>
    <row r="614" spans="1:5" x14ac:dyDescent="0.25">
      <c r="A614" s="8" t="str">
        <f t="shared" si="17"/>
        <v>DNV-T I - 56</v>
      </c>
      <c r="B614" s="10">
        <v>56</v>
      </c>
      <c r="E614" s="10" t="s">
        <v>785</v>
      </c>
    </row>
    <row r="615" spans="1:5" x14ac:dyDescent="0.25">
      <c r="A615" s="8" t="str">
        <f t="shared" si="17"/>
        <v>DNV-T I - 57</v>
      </c>
      <c r="B615" s="10">
        <v>57</v>
      </c>
      <c r="E615" s="10" t="s">
        <v>786</v>
      </c>
    </row>
    <row r="616" spans="1:5" x14ac:dyDescent="0.25">
      <c r="A616" s="8" t="str">
        <f t="shared" si="17"/>
        <v>DNV-T I - 58</v>
      </c>
      <c r="B616" s="10">
        <v>58</v>
      </c>
      <c r="E616" s="10" t="s">
        <v>787</v>
      </c>
    </row>
    <row r="617" spans="1:5" x14ac:dyDescent="0.25">
      <c r="A617" s="8" t="str">
        <f t="shared" si="17"/>
        <v>DNV-T I - 59</v>
      </c>
      <c r="B617" s="10">
        <v>59</v>
      </c>
      <c r="E617" s="10" t="s">
        <v>788</v>
      </c>
    </row>
    <row r="618" spans="1:5" x14ac:dyDescent="0.25">
      <c r="A618" s="8" t="str">
        <f t="shared" si="17"/>
        <v>DNV-T I - 60</v>
      </c>
      <c r="B618" s="10">
        <v>60</v>
      </c>
      <c r="E618" s="10" t="s">
        <v>789</v>
      </c>
    </row>
    <row r="619" spans="1:5" x14ac:dyDescent="0.25">
      <c r="A619" s="8" t="str">
        <f t="shared" si="17"/>
        <v>DNV-T I - 61</v>
      </c>
      <c r="B619" s="10">
        <v>61</v>
      </c>
      <c r="E619" s="10" t="s">
        <v>790</v>
      </c>
    </row>
    <row r="620" spans="1:5" x14ac:dyDescent="0.25">
      <c r="A620" s="8" t="str">
        <f t="shared" si="17"/>
        <v>DNV-T I - 62</v>
      </c>
      <c r="B620" s="10">
        <v>62</v>
      </c>
      <c r="E620" s="10" t="s">
        <v>791</v>
      </c>
    </row>
    <row r="621" spans="1:5" x14ac:dyDescent="0.25">
      <c r="A621" s="8" t="str">
        <f t="shared" si="17"/>
        <v>DNV-T I - 63</v>
      </c>
      <c r="B621" s="10">
        <v>63</v>
      </c>
      <c r="E621" s="10" t="s">
        <v>792</v>
      </c>
    </row>
    <row r="622" spans="1:5" x14ac:dyDescent="0.25">
      <c r="A622" s="8" t="str">
        <f t="shared" si="17"/>
        <v>DNV-T I - 64</v>
      </c>
      <c r="B622" s="10">
        <v>64</v>
      </c>
      <c r="E622" s="10" t="s">
        <v>793</v>
      </c>
    </row>
    <row r="623" spans="1:5" x14ac:dyDescent="0.25">
      <c r="A623" s="8" t="str">
        <f t="shared" ref="A623:A654" si="18">CONCATENATE("DNV-T I - ",B623)</f>
        <v>DNV-T I - 65</v>
      </c>
      <c r="B623" s="10">
        <v>65</v>
      </c>
      <c r="E623" s="10" t="s">
        <v>794</v>
      </c>
    </row>
    <row r="624" spans="1:5" x14ac:dyDescent="0.25">
      <c r="A624" s="8" t="str">
        <f t="shared" si="18"/>
        <v>DNV-T I - 66</v>
      </c>
      <c r="B624" s="10">
        <v>66</v>
      </c>
      <c r="E624" s="10" t="s">
        <v>795</v>
      </c>
    </row>
    <row r="625" spans="1:5" x14ac:dyDescent="0.25">
      <c r="A625" s="8" t="str">
        <f t="shared" si="18"/>
        <v>DNV-T I - 67</v>
      </c>
      <c r="B625" s="10">
        <v>67</v>
      </c>
      <c r="E625" s="10" t="s">
        <v>796</v>
      </c>
    </row>
    <row r="626" spans="1:5" x14ac:dyDescent="0.25">
      <c r="A626" s="8" t="str">
        <f t="shared" si="18"/>
        <v>DNV-T I - 68</v>
      </c>
      <c r="B626" s="10">
        <v>68</v>
      </c>
      <c r="E626" s="10" t="s">
        <v>797</v>
      </c>
    </row>
    <row r="627" spans="1:5" x14ac:dyDescent="0.25">
      <c r="A627" s="8" t="str">
        <f t="shared" si="18"/>
        <v>DNV-T I - 69</v>
      </c>
      <c r="B627" s="10">
        <v>69</v>
      </c>
      <c r="E627" s="10" t="s">
        <v>798</v>
      </c>
    </row>
    <row r="628" spans="1:5" x14ac:dyDescent="0.25">
      <c r="A628" s="8" t="str">
        <f t="shared" si="18"/>
        <v>DNV-T I - 70</v>
      </c>
      <c r="B628" s="10">
        <v>70</v>
      </c>
      <c r="E628" s="10" t="s">
        <v>799</v>
      </c>
    </row>
    <row r="629" spans="1:5" x14ac:dyDescent="0.25">
      <c r="A629" s="8" t="str">
        <f t="shared" si="18"/>
        <v>DNV-T I - 71</v>
      </c>
      <c r="B629" s="10">
        <v>71</v>
      </c>
      <c r="E629" s="10" t="s">
        <v>800</v>
      </c>
    </row>
    <row r="630" spans="1:5" x14ac:dyDescent="0.25">
      <c r="A630" s="8" t="str">
        <f t="shared" si="18"/>
        <v>DNV-T I - 72</v>
      </c>
      <c r="B630" s="10">
        <v>72</v>
      </c>
      <c r="E630" s="10" t="s">
        <v>801</v>
      </c>
    </row>
    <row r="631" spans="1:5" x14ac:dyDescent="0.25">
      <c r="A631" s="8" t="str">
        <f t="shared" si="18"/>
        <v>DNV-T I - 73</v>
      </c>
      <c r="B631" s="10">
        <v>73</v>
      </c>
      <c r="E631" s="10" t="s">
        <v>802</v>
      </c>
    </row>
    <row r="632" spans="1:5" x14ac:dyDescent="0.25">
      <c r="A632" s="8" t="str">
        <f t="shared" si="18"/>
        <v>DNV-T I - 74</v>
      </c>
      <c r="B632" s="10">
        <v>74</v>
      </c>
      <c r="E632" s="10" t="s">
        <v>803</v>
      </c>
    </row>
    <row r="633" spans="1:5" x14ac:dyDescent="0.25">
      <c r="A633" s="8" t="str">
        <f t="shared" si="18"/>
        <v>DNV-T I - 75</v>
      </c>
      <c r="B633" s="10">
        <v>75</v>
      </c>
      <c r="E633" s="10" t="s">
        <v>804</v>
      </c>
    </row>
    <row r="634" spans="1:5" ht="11.25" customHeight="1" x14ac:dyDescent="0.25">
      <c r="A634" s="8" t="str">
        <f t="shared" si="18"/>
        <v>DNV-T I - 76</v>
      </c>
      <c r="B634" s="10">
        <v>76</v>
      </c>
      <c r="E634" s="10" t="s">
        <v>805</v>
      </c>
    </row>
    <row r="635" spans="1:5" ht="11.25" customHeight="1" x14ac:dyDescent="0.25">
      <c r="A635" s="8" t="str">
        <f t="shared" si="18"/>
        <v xml:space="preserve">DNV-T I - </v>
      </c>
    </row>
    <row r="636" spans="1:5" x14ac:dyDescent="0.25">
      <c r="A636" s="8" t="str">
        <f t="shared" si="18"/>
        <v>DNV-T I - 77</v>
      </c>
      <c r="B636" s="10">
        <v>77</v>
      </c>
      <c r="E636" s="10" t="s">
        <v>806</v>
      </c>
    </row>
    <row r="637" spans="1:5" x14ac:dyDescent="0.25">
      <c r="A637" s="8" t="str">
        <f t="shared" si="18"/>
        <v>DNV-T I - 78</v>
      </c>
      <c r="B637" s="10">
        <v>78</v>
      </c>
      <c r="E637" s="10" t="s">
        <v>807</v>
      </c>
    </row>
    <row r="638" spans="1:5" x14ac:dyDescent="0.25">
      <c r="A638" s="8" t="str">
        <f t="shared" si="18"/>
        <v>DNV-T I - 79</v>
      </c>
      <c r="B638" s="10">
        <v>79</v>
      </c>
      <c r="E638" s="10" t="s">
        <v>808</v>
      </c>
    </row>
    <row r="639" spans="1:5" x14ac:dyDescent="0.25">
      <c r="A639" s="8" t="str">
        <f t="shared" si="18"/>
        <v>DNV-T I - 80</v>
      </c>
      <c r="B639" s="10">
        <v>80</v>
      </c>
      <c r="E639" s="10" t="s">
        <v>809</v>
      </c>
    </row>
    <row r="640" spans="1:5" x14ac:dyDescent="0.25">
      <c r="A640" s="8" t="str">
        <f t="shared" si="18"/>
        <v>DNV-T I - 81</v>
      </c>
      <c r="B640" s="10">
        <v>81</v>
      </c>
      <c r="E640" s="10" t="s">
        <v>810</v>
      </c>
    </row>
    <row r="641" spans="1:5" x14ac:dyDescent="0.25">
      <c r="A641" s="8" t="str">
        <f t="shared" si="18"/>
        <v>DNV-T I - 82</v>
      </c>
      <c r="B641" s="10">
        <v>82</v>
      </c>
      <c r="E641" s="10" t="s">
        <v>811</v>
      </c>
    </row>
    <row r="642" spans="1:5" x14ac:dyDescent="0.25">
      <c r="A642" s="8" t="str">
        <f t="shared" si="18"/>
        <v>DNV-T I - 83</v>
      </c>
      <c r="B642" s="10">
        <v>83</v>
      </c>
      <c r="E642" s="10" t="s">
        <v>812</v>
      </c>
    </row>
    <row r="643" spans="1:5" ht="11.25" customHeight="1" x14ac:dyDescent="0.25">
      <c r="A643" s="8" t="str">
        <f t="shared" si="18"/>
        <v>DNV-T I - 84</v>
      </c>
      <c r="B643" s="10">
        <v>84</v>
      </c>
      <c r="E643" s="10" t="s">
        <v>813</v>
      </c>
    </row>
    <row r="644" spans="1:5" ht="11.25" customHeight="1" x14ac:dyDescent="0.25">
      <c r="A644" s="8" t="str">
        <f t="shared" si="18"/>
        <v xml:space="preserve">DNV-T I - </v>
      </c>
    </row>
    <row r="645" spans="1:5" ht="11.25" customHeight="1" x14ac:dyDescent="0.25">
      <c r="A645" s="8" t="str">
        <f t="shared" si="18"/>
        <v>DNV-T I - 85</v>
      </c>
      <c r="B645" s="10">
        <v>85</v>
      </c>
      <c r="E645" s="10" t="s">
        <v>814</v>
      </c>
    </row>
    <row r="646" spans="1:5" ht="11.25" customHeight="1" x14ac:dyDescent="0.25">
      <c r="A646" s="8" t="str">
        <f t="shared" si="18"/>
        <v xml:space="preserve">DNV-T I - </v>
      </c>
    </row>
    <row r="647" spans="1:5" x14ac:dyDescent="0.25">
      <c r="A647" s="8" t="str">
        <f t="shared" si="18"/>
        <v>DNV-T I - 86</v>
      </c>
      <c r="B647" s="10">
        <v>86</v>
      </c>
      <c r="E647" s="10" t="s">
        <v>815</v>
      </c>
    </row>
    <row r="648" spans="1:5" x14ac:dyDescent="0.25">
      <c r="A648" s="8" t="str">
        <f t="shared" si="18"/>
        <v>DNV-T I - 86.1</v>
      </c>
      <c r="B648" s="10" t="s">
        <v>816</v>
      </c>
      <c r="E648" s="10" t="s">
        <v>817</v>
      </c>
    </row>
    <row r="649" spans="1:5" x14ac:dyDescent="0.25">
      <c r="A649" s="8" t="str">
        <f t="shared" si="18"/>
        <v>DNV-T I - 86.1.1</v>
      </c>
      <c r="B649" s="10" t="s">
        <v>818</v>
      </c>
      <c r="E649" s="10" t="s">
        <v>819</v>
      </c>
    </row>
    <row r="650" spans="1:5" x14ac:dyDescent="0.25">
      <c r="A650" s="8" t="str">
        <f t="shared" si="18"/>
        <v>DNV-T I - 86.1.2</v>
      </c>
      <c r="B650" s="10" t="s">
        <v>820</v>
      </c>
      <c r="E650" s="10" t="s">
        <v>821</v>
      </c>
    </row>
    <row r="651" spans="1:5" x14ac:dyDescent="0.25">
      <c r="A651" s="8" t="str">
        <f t="shared" si="18"/>
        <v>DNV-T I - 86.1.3</v>
      </c>
      <c r="B651" s="10" t="s">
        <v>822</v>
      </c>
      <c r="E651" s="10" t="s">
        <v>823</v>
      </c>
    </row>
    <row r="652" spans="1:5" x14ac:dyDescent="0.25">
      <c r="A652" s="8" t="str">
        <f t="shared" si="18"/>
        <v>DNV-T I - 86.1.4</v>
      </c>
      <c r="B652" s="10" t="s">
        <v>824</v>
      </c>
      <c r="E652" s="10" t="s">
        <v>825</v>
      </c>
    </row>
    <row r="653" spans="1:5" x14ac:dyDescent="0.25">
      <c r="A653" s="8" t="str">
        <f t="shared" si="18"/>
        <v>DNV-T I - 86.1.5</v>
      </c>
      <c r="B653" s="10" t="s">
        <v>826</v>
      </c>
      <c r="E653" s="10" t="s">
        <v>827</v>
      </c>
    </row>
    <row r="654" spans="1:5" x14ac:dyDescent="0.25">
      <c r="A654" s="8" t="str">
        <f t="shared" si="18"/>
        <v>DNV-T I - 86.2</v>
      </c>
      <c r="B654" s="10" t="s">
        <v>828</v>
      </c>
      <c r="E654" s="10" t="s">
        <v>829</v>
      </c>
    </row>
    <row r="655" spans="1:5" x14ac:dyDescent="0.25">
      <c r="A655" s="8" t="str">
        <f t="shared" ref="A655:A679" si="19">CONCATENATE("DNV-T I - ",B655)</f>
        <v>DNV-T I - 86.2.1</v>
      </c>
      <c r="B655" s="10" t="s">
        <v>830</v>
      </c>
      <c r="E655" s="10" t="s">
        <v>819</v>
      </c>
    </row>
    <row r="656" spans="1:5" x14ac:dyDescent="0.25">
      <c r="A656" s="8" t="str">
        <f t="shared" si="19"/>
        <v>DNV-T I - 86.2.2</v>
      </c>
      <c r="B656" s="10" t="s">
        <v>831</v>
      </c>
      <c r="E656" s="10" t="s">
        <v>832</v>
      </c>
    </row>
    <row r="657" spans="1:5" x14ac:dyDescent="0.25">
      <c r="A657" s="8" t="str">
        <f t="shared" si="19"/>
        <v>DNV-T I - 86.2.3</v>
      </c>
      <c r="B657" s="10" t="s">
        <v>833</v>
      </c>
      <c r="E657" s="10" t="s">
        <v>821</v>
      </c>
    </row>
    <row r="658" spans="1:5" x14ac:dyDescent="0.25">
      <c r="A658" s="8" t="str">
        <f t="shared" si="19"/>
        <v>DNV-T I - 86.2.4</v>
      </c>
      <c r="B658" s="10" t="s">
        <v>834</v>
      </c>
      <c r="E658" s="10" t="s">
        <v>823</v>
      </c>
    </row>
    <row r="659" spans="1:5" x14ac:dyDescent="0.25">
      <c r="A659" s="8" t="str">
        <f t="shared" si="19"/>
        <v>DNV-T I - 86.2.5</v>
      </c>
      <c r="B659" s="10" t="s">
        <v>835</v>
      </c>
      <c r="E659" s="10" t="s">
        <v>825</v>
      </c>
    </row>
    <row r="660" spans="1:5" x14ac:dyDescent="0.25">
      <c r="A660" s="8" t="str">
        <f t="shared" si="19"/>
        <v>DNV-T I - 86.2.6</v>
      </c>
      <c r="B660" s="10" t="s">
        <v>836</v>
      </c>
      <c r="E660" s="10" t="s">
        <v>827</v>
      </c>
    </row>
    <row r="661" spans="1:5" x14ac:dyDescent="0.25">
      <c r="A661" s="8" t="str">
        <f t="shared" si="19"/>
        <v>DNV-T I - 87</v>
      </c>
      <c r="B661" s="10">
        <v>87</v>
      </c>
      <c r="E661" s="10" t="s">
        <v>837</v>
      </c>
    </row>
    <row r="662" spans="1:5" x14ac:dyDescent="0.25">
      <c r="A662" s="8" t="str">
        <f t="shared" si="19"/>
        <v>DNV-T I - 88</v>
      </c>
      <c r="B662" s="10">
        <v>88</v>
      </c>
      <c r="E662" s="10" t="s">
        <v>838</v>
      </c>
    </row>
    <row r="663" spans="1:5" x14ac:dyDescent="0.25">
      <c r="A663" s="8" t="str">
        <f t="shared" si="19"/>
        <v>DNV-T I - 89</v>
      </c>
      <c r="B663" s="10">
        <v>89</v>
      </c>
      <c r="E663" s="10" t="s">
        <v>839</v>
      </c>
    </row>
    <row r="664" spans="1:5" x14ac:dyDescent="0.25">
      <c r="A664" s="8" t="str">
        <f t="shared" si="19"/>
        <v>DNV-T I - 90</v>
      </c>
      <c r="B664" s="10">
        <v>90</v>
      </c>
      <c r="E664" s="10" t="s">
        <v>840</v>
      </c>
    </row>
    <row r="665" spans="1:5" x14ac:dyDescent="0.25">
      <c r="A665" s="8" t="str">
        <f t="shared" si="19"/>
        <v>DNV-T I - 91</v>
      </c>
      <c r="B665" s="10">
        <v>91</v>
      </c>
      <c r="E665" s="10" t="s">
        <v>841</v>
      </c>
    </row>
    <row r="666" spans="1:5" x14ac:dyDescent="0.25">
      <c r="A666" s="8" t="str">
        <f t="shared" si="19"/>
        <v>DNV-T I - 92</v>
      </c>
      <c r="B666" s="10">
        <v>92</v>
      </c>
      <c r="E666" s="10" t="s">
        <v>842</v>
      </c>
    </row>
    <row r="667" spans="1:5" x14ac:dyDescent="0.25">
      <c r="A667" s="8" t="str">
        <f t="shared" si="19"/>
        <v>DNV-T I - 93</v>
      </c>
      <c r="B667" s="10">
        <v>93</v>
      </c>
      <c r="E667" s="10" t="s">
        <v>843</v>
      </c>
    </row>
    <row r="668" spans="1:5" x14ac:dyDescent="0.25">
      <c r="A668" s="8" t="str">
        <f t="shared" si="19"/>
        <v>DNV-T I - 94</v>
      </c>
      <c r="B668" s="10">
        <v>94</v>
      </c>
      <c r="E668" s="10" t="s">
        <v>844</v>
      </c>
    </row>
    <row r="669" spans="1:5" x14ac:dyDescent="0.25">
      <c r="A669" s="8" t="str">
        <f t="shared" si="19"/>
        <v>DNV-T I - 95</v>
      </c>
      <c r="B669" s="10">
        <v>95</v>
      </c>
      <c r="E669" s="10" t="s">
        <v>845</v>
      </c>
    </row>
    <row r="670" spans="1:5" x14ac:dyDescent="0.25">
      <c r="A670" s="8" t="str">
        <f t="shared" si="19"/>
        <v>DNV-T I - 96</v>
      </c>
      <c r="B670" s="10">
        <v>96</v>
      </c>
      <c r="E670" s="10" t="s">
        <v>846</v>
      </c>
    </row>
    <row r="671" spans="1:5" x14ac:dyDescent="0.25">
      <c r="A671" s="8" t="str">
        <f t="shared" si="19"/>
        <v>DNV-T I - 97</v>
      </c>
      <c r="B671" s="10">
        <v>97</v>
      </c>
      <c r="E671" s="10" t="s">
        <v>847</v>
      </c>
    </row>
    <row r="672" spans="1:5" x14ac:dyDescent="0.25">
      <c r="A672" s="8" t="str">
        <f t="shared" si="19"/>
        <v>DNV-T I - 98</v>
      </c>
      <c r="B672" s="10">
        <v>98</v>
      </c>
      <c r="E672" s="10" t="s">
        <v>848</v>
      </c>
    </row>
    <row r="673" spans="1:7" x14ac:dyDescent="0.25">
      <c r="A673" s="8" t="str">
        <f t="shared" si="19"/>
        <v>DNV-T I - 99</v>
      </c>
      <c r="B673" s="10">
        <v>99</v>
      </c>
      <c r="E673" s="10" t="s">
        <v>849</v>
      </c>
    </row>
    <row r="674" spans="1:7" x14ac:dyDescent="0.25">
      <c r="A674" s="8" t="str">
        <f t="shared" si="19"/>
        <v>DNV-T I - 100</v>
      </c>
      <c r="B674" s="10">
        <v>100</v>
      </c>
      <c r="E674" s="10" t="s">
        <v>850</v>
      </c>
    </row>
    <row r="675" spans="1:7" x14ac:dyDescent="0.25">
      <c r="A675" s="8" t="str">
        <f t="shared" si="19"/>
        <v>DNV-T I - 101</v>
      </c>
      <c r="B675" s="10">
        <v>101</v>
      </c>
      <c r="E675" s="10" t="s">
        <v>851</v>
      </c>
    </row>
    <row r="676" spans="1:7" x14ac:dyDescent="0.25">
      <c r="A676" s="8" t="str">
        <f t="shared" si="19"/>
        <v>DNV-T I - 102</v>
      </c>
      <c r="B676" s="10">
        <v>102</v>
      </c>
      <c r="E676" s="10" t="s">
        <v>852</v>
      </c>
    </row>
    <row r="677" spans="1:7" x14ac:dyDescent="0.25">
      <c r="A677" s="8" t="str">
        <f t="shared" si="19"/>
        <v>DNV-T I - 103</v>
      </c>
      <c r="B677" s="10">
        <v>103</v>
      </c>
      <c r="E677" s="10" t="s">
        <v>853</v>
      </c>
    </row>
    <row r="678" spans="1:7" x14ac:dyDescent="0.25">
      <c r="A678" s="8" t="str">
        <f t="shared" si="19"/>
        <v>DNV-T I - 104</v>
      </c>
      <c r="B678" s="10">
        <v>104</v>
      </c>
      <c r="E678" s="10" t="s">
        <v>854</v>
      </c>
    </row>
    <row r="679" spans="1:7" x14ac:dyDescent="0.25">
      <c r="A679" s="8" t="str">
        <f t="shared" si="19"/>
        <v>DNV-T I - 105</v>
      </c>
      <c r="B679" s="10">
        <v>105</v>
      </c>
      <c r="E679" s="10" t="s">
        <v>855</v>
      </c>
    </row>
    <row r="681" spans="1:7" ht="13.2" x14ac:dyDescent="0.25">
      <c r="A681" s="50"/>
      <c r="B681" s="6" t="s">
        <v>856</v>
      </c>
      <c r="C681" s="6"/>
      <c r="D681" s="49"/>
      <c r="E681" s="50"/>
      <c r="F681" s="50"/>
      <c r="G681" s="50"/>
    </row>
    <row r="682" spans="1:7" x14ac:dyDescent="0.25">
      <c r="A682" s="8" t="str">
        <f t="shared" ref="A682:A716" si="20">CONCATENATE("DNV-TRC - ",E682)</f>
        <v>DNV-TRC - 1</v>
      </c>
      <c r="E682" s="51">
        <v>1</v>
      </c>
    </row>
    <row r="683" spans="1:7" x14ac:dyDescent="0.25">
      <c r="A683" s="8" t="str">
        <f t="shared" si="20"/>
        <v>DNV-TRC - 1,5</v>
      </c>
      <c r="E683" s="51">
        <v>1.5</v>
      </c>
    </row>
    <row r="684" spans="1:7" x14ac:dyDescent="0.25">
      <c r="A684" s="8" t="str">
        <f t="shared" si="20"/>
        <v>DNV-TRC - 2</v>
      </c>
      <c r="E684" s="51">
        <v>2</v>
      </c>
    </row>
    <row r="685" spans="1:7" x14ac:dyDescent="0.25">
      <c r="A685" s="8" t="str">
        <f t="shared" si="20"/>
        <v>DNV-TRC - 2,5</v>
      </c>
      <c r="E685" s="51">
        <v>2.5</v>
      </c>
    </row>
    <row r="686" spans="1:7" x14ac:dyDescent="0.25">
      <c r="A686" s="8" t="str">
        <f t="shared" si="20"/>
        <v>DNV-TRC - 3</v>
      </c>
      <c r="E686" s="51">
        <v>3</v>
      </c>
    </row>
    <row r="687" spans="1:7" x14ac:dyDescent="0.25">
      <c r="A687" s="8" t="str">
        <f t="shared" si="20"/>
        <v>DNV-TRC - 3,5</v>
      </c>
      <c r="E687" s="51">
        <v>3.5</v>
      </c>
    </row>
    <row r="688" spans="1:7" x14ac:dyDescent="0.25">
      <c r="A688" s="8" t="str">
        <f t="shared" si="20"/>
        <v>DNV-TRC - 4</v>
      </c>
      <c r="E688" s="51">
        <v>4</v>
      </c>
    </row>
    <row r="689" spans="1:5" x14ac:dyDescent="0.25">
      <c r="A689" s="8" t="str">
        <f t="shared" si="20"/>
        <v>DNV-TRC - 4,5</v>
      </c>
      <c r="E689" s="51">
        <v>4.5</v>
      </c>
    </row>
    <row r="690" spans="1:5" x14ac:dyDescent="0.25">
      <c r="A690" s="8" t="str">
        <f t="shared" si="20"/>
        <v>DNV-TRC - 5</v>
      </c>
      <c r="E690" s="51">
        <v>5</v>
      </c>
    </row>
    <row r="691" spans="1:5" x14ac:dyDescent="0.25">
      <c r="A691" s="8" t="str">
        <f t="shared" si="20"/>
        <v>DNV-TRC - 6</v>
      </c>
      <c r="E691" s="51">
        <v>6</v>
      </c>
    </row>
    <row r="692" spans="1:5" x14ac:dyDescent="0.25">
      <c r="A692" s="8" t="str">
        <f t="shared" si="20"/>
        <v>DNV-TRC - 7</v>
      </c>
      <c r="E692" s="51">
        <v>7</v>
      </c>
    </row>
    <row r="693" spans="1:5" x14ac:dyDescent="0.25">
      <c r="A693" s="8" t="str">
        <f t="shared" si="20"/>
        <v>DNV-TRC - 8</v>
      </c>
      <c r="E693" s="51">
        <v>8</v>
      </c>
    </row>
    <row r="694" spans="1:5" x14ac:dyDescent="0.25">
      <c r="A694" s="8" t="str">
        <f t="shared" si="20"/>
        <v>DNV-TRC - 9</v>
      </c>
      <c r="E694" s="51">
        <v>9</v>
      </c>
    </row>
    <row r="695" spans="1:5" x14ac:dyDescent="0.25">
      <c r="A695" s="8" t="str">
        <f t="shared" si="20"/>
        <v>DNV-TRC - 10</v>
      </c>
      <c r="E695" s="51">
        <v>10</v>
      </c>
    </row>
    <row r="696" spans="1:5" x14ac:dyDescent="0.25">
      <c r="A696" s="8" t="str">
        <f t="shared" si="20"/>
        <v>DNV-TRC - 12</v>
      </c>
      <c r="E696" s="51">
        <v>12</v>
      </c>
    </row>
    <row r="697" spans="1:5" x14ac:dyDescent="0.25">
      <c r="A697" s="8" t="str">
        <f t="shared" si="20"/>
        <v>DNV-TRC - 15</v>
      </c>
      <c r="E697" s="51">
        <v>15</v>
      </c>
    </row>
    <row r="698" spans="1:5" x14ac:dyDescent="0.25">
      <c r="A698" s="8" t="str">
        <f t="shared" si="20"/>
        <v>DNV-TRC - 17</v>
      </c>
      <c r="E698" s="51">
        <v>17</v>
      </c>
    </row>
    <row r="699" spans="1:5" x14ac:dyDescent="0.25">
      <c r="A699" s="8" t="str">
        <f t="shared" si="20"/>
        <v>DNV-TRC - 19</v>
      </c>
      <c r="E699" s="51">
        <v>19</v>
      </c>
    </row>
    <row r="700" spans="1:5" x14ac:dyDescent="0.25">
      <c r="A700" s="8" t="str">
        <f t="shared" si="20"/>
        <v>DNV-TRC - 20</v>
      </c>
      <c r="E700" s="51">
        <v>20</v>
      </c>
    </row>
    <row r="701" spans="1:5" x14ac:dyDescent="0.25">
      <c r="A701" s="8" t="str">
        <f t="shared" si="20"/>
        <v>DNV-TRC - 25</v>
      </c>
      <c r="E701" s="51">
        <v>25</v>
      </c>
    </row>
    <row r="702" spans="1:5" x14ac:dyDescent="0.25">
      <c r="A702" s="8" t="str">
        <f t="shared" si="20"/>
        <v>DNV-TRC - 30</v>
      </c>
      <c r="E702" s="51">
        <v>30</v>
      </c>
    </row>
    <row r="703" spans="1:5" x14ac:dyDescent="0.25">
      <c r="A703" s="8" t="str">
        <f t="shared" si="20"/>
        <v>DNV-TRC - 35</v>
      </c>
      <c r="E703" s="51">
        <v>35</v>
      </c>
    </row>
    <row r="704" spans="1:5" x14ac:dyDescent="0.25">
      <c r="A704" s="8" t="str">
        <f t="shared" si="20"/>
        <v>DNV-TRC - 40</v>
      </c>
      <c r="E704" s="51">
        <v>40</v>
      </c>
    </row>
    <row r="705" spans="1:7" x14ac:dyDescent="0.25">
      <c r="A705" s="8" t="str">
        <f t="shared" si="20"/>
        <v>DNV-TRC - 45</v>
      </c>
      <c r="E705" s="51">
        <v>45</v>
      </c>
    </row>
    <row r="706" spans="1:7" x14ac:dyDescent="0.25">
      <c r="A706" s="8" t="str">
        <f t="shared" si="20"/>
        <v>DNV-TRC - 50</v>
      </c>
      <c r="E706" s="51">
        <v>50</v>
      </c>
    </row>
    <row r="707" spans="1:7" x14ac:dyDescent="0.25">
      <c r="A707" s="8" t="str">
        <f t="shared" si="20"/>
        <v>DNV-TRC - 55</v>
      </c>
      <c r="E707" s="51">
        <v>55</v>
      </c>
    </row>
    <row r="708" spans="1:7" x14ac:dyDescent="0.25">
      <c r="A708" s="8" t="str">
        <f t="shared" si="20"/>
        <v>DNV-TRC - 60</v>
      </c>
      <c r="E708" s="51">
        <v>60</v>
      </c>
    </row>
    <row r="709" spans="1:7" x14ac:dyDescent="0.25">
      <c r="A709" s="8" t="str">
        <f t="shared" si="20"/>
        <v>DNV-TRC - 65</v>
      </c>
      <c r="E709" s="51">
        <v>65</v>
      </c>
    </row>
    <row r="710" spans="1:7" x14ac:dyDescent="0.25">
      <c r="A710" s="8" t="str">
        <f t="shared" si="20"/>
        <v>DNV-TRC - 70</v>
      </c>
      <c r="E710" s="51">
        <v>70</v>
      </c>
    </row>
    <row r="711" spans="1:7" x14ac:dyDescent="0.25">
      <c r="A711" s="8" t="str">
        <f t="shared" si="20"/>
        <v>DNV-TRC - 75</v>
      </c>
      <c r="E711" s="51">
        <v>75</v>
      </c>
    </row>
    <row r="712" spans="1:7" x14ac:dyDescent="0.25">
      <c r="A712" s="8" t="str">
        <f t="shared" si="20"/>
        <v>DNV-TRC - 80</v>
      </c>
      <c r="E712" s="51">
        <v>80</v>
      </c>
    </row>
    <row r="713" spans="1:7" x14ac:dyDescent="0.25">
      <c r="A713" s="8" t="str">
        <f t="shared" si="20"/>
        <v>DNV-TRC - 85</v>
      </c>
      <c r="E713" s="51">
        <v>85</v>
      </c>
    </row>
    <row r="714" spans="1:7" x14ac:dyDescent="0.25">
      <c r="A714" s="8" t="str">
        <f t="shared" si="20"/>
        <v>DNV-TRC - 90</v>
      </c>
      <c r="E714" s="51">
        <v>90</v>
      </c>
    </row>
    <row r="715" spans="1:7" x14ac:dyDescent="0.25">
      <c r="A715" s="8" t="str">
        <f t="shared" si="20"/>
        <v>DNV-TRC - 95</v>
      </c>
      <c r="E715" s="51">
        <v>95</v>
      </c>
    </row>
    <row r="716" spans="1:7" x14ac:dyDescent="0.25">
      <c r="A716" s="8" t="str">
        <f t="shared" si="20"/>
        <v>DNV-TRC - 100</v>
      </c>
      <c r="E716" s="51">
        <v>100</v>
      </c>
    </row>
    <row r="717" spans="1:7" x14ac:dyDescent="0.25">
      <c r="A717" s="8"/>
      <c r="E717" s="51"/>
    </row>
    <row r="719" spans="1:7" x14ac:dyDescent="0.25">
      <c r="A719" s="6"/>
      <c r="B719" s="6" t="s">
        <v>857</v>
      </c>
      <c r="C719" s="6"/>
      <c r="D719" s="7"/>
      <c r="E719" s="6"/>
      <c r="F719" s="6"/>
      <c r="G719" s="6"/>
    </row>
    <row r="720" spans="1:7" x14ac:dyDescent="0.25">
      <c r="A720" s="8" t="str">
        <f t="shared" ref="A720:A754" si="21">CONCATENATE("DNV-TRCA - ",E720)</f>
        <v>DNV-TRCA - 55</v>
      </c>
      <c r="E720" s="51">
        <v>55</v>
      </c>
    </row>
    <row r="721" spans="1:5" x14ac:dyDescent="0.25">
      <c r="A721" s="8" t="str">
        <f t="shared" si="21"/>
        <v>DNV-TRCA - 60</v>
      </c>
      <c r="E721" s="51">
        <v>60</v>
      </c>
    </row>
    <row r="722" spans="1:5" x14ac:dyDescent="0.25">
      <c r="A722" s="8" t="str">
        <f t="shared" si="21"/>
        <v>DNV-TRCA - 65</v>
      </c>
      <c r="E722" s="51">
        <v>65</v>
      </c>
    </row>
    <row r="723" spans="1:5" x14ac:dyDescent="0.25">
      <c r="A723" s="8" t="str">
        <f t="shared" si="21"/>
        <v>DNV-TRCA - 70</v>
      </c>
      <c r="E723" s="51">
        <v>70</v>
      </c>
    </row>
    <row r="724" spans="1:5" x14ac:dyDescent="0.25">
      <c r="A724" s="8" t="str">
        <f t="shared" si="21"/>
        <v>DNV-TRCA - 75</v>
      </c>
      <c r="E724" s="51">
        <v>75</v>
      </c>
    </row>
    <row r="725" spans="1:5" x14ac:dyDescent="0.25">
      <c r="A725" s="8" t="str">
        <f t="shared" si="21"/>
        <v>DNV-TRCA - 80</v>
      </c>
      <c r="E725" s="51">
        <v>80</v>
      </c>
    </row>
    <row r="726" spans="1:5" x14ac:dyDescent="0.25">
      <c r="A726" s="8" t="str">
        <f t="shared" si="21"/>
        <v>DNV-TRCA - 85</v>
      </c>
      <c r="E726" s="51">
        <v>85</v>
      </c>
    </row>
    <row r="727" spans="1:5" x14ac:dyDescent="0.25">
      <c r="A727" s="8" t="str">
        <f t="shared" si="21"/>
        <v>DNV-TRCA - 90</v>
      </c>
      <c r="E727" s="51">
        <v>90</v>
      </c>
    </row>
    <row r="728" spans="1:5" x14ac:dyDescent="0.25">
      <c r="A728" s="8" t="str">
        <f t="shared" si="21"/>
        <v>DNV-TRCA - 95</v>
      </c>
      <c r="E728" s="51">
        <v>95</v>
      </c>
    </row>
    <row r="729" spans="1:5" x14ac:dyDescent="0.25">
      <c r="A729" s="8" t="str">
        <f t="shared" si="21"/>
        <v>DNV-TRCA - 100</v>
      </c>
      <c r="E729" s="51">
        <v>100</v>
      </c>
    </row>
    <row r="730" spans="1:5" x14ac:dyDescent="0.25">
      <c r="A730" s="8" t="str">
        <f t="shared" si="21"/>
        <v>DNV-TRCA - 105</v>
      </c>
      <c r="E730" s="51">
        <v>105</v>
      </c>
    </row>
    <row r="731" spans="1:5" x14ac:dyDescent="0.25">
      <c r="A731" s="8" t="str">
        <f t="shared" si="21"/>
        <v>DNV-TRCA - 110</v>
      </c>
      <c r="E731" s="51">
        <v>110</v>
      </c>
    </row>
    <row r="732" spans="1:5" x14ac:dyDescent="0.25">
      <c r="A732" s="8" t="str">
        <f t="shared" si="21"/>
        <v>DNV-TRCA - 120</v>
      </c>
      <c r="E732" s="51">
        <v>120</v>
      </c>
    </row>
    <row r="733" spans="1:5" x14ac:dyDescent="0.25">
      <c r="A733" s="8" t="str">
        <f t="shared" si="21"/>
        <v>DNV-TRCA - 130</v>
      </c>
      <c r="E733" s="51">
        <v>130</v>
      </c>
    </row>
    <row r="734" spans="1:5" x14ac:dyDescent="0.25">
      <c r="A734" s="8" t="str">
        <f t="shared" si="21"/>
        <v>DNV-TRCA - 140</v>
      </c>
      <c r="E734" s="51">
        <v>140</v>
      </c>
    </row>
    <row r="735" spans="1:5" x14ac:dyDescent="0.25">
      <c r="A735" s="8" t="str">
        <f t="shared" si="21"/>
        <v>DNV-TRCA - 150</v>
      </c>
      <c r="E735" s="51">
        <v>150</v>
      </c>
    </row>
    <row r="736" spans="1:5" x14ac:dyDescent="0.25">
      <c r="A736" s="8" t="str">
        <f t="shared" si="21"/>
        <v>DNV-TRCA - 160</v>
      </c>
      <c r="E736" s="51">
        <v>160</v>
      </c>
    </row>
    <row r="737" spans="1:5" x14ac:dyDescent="0.25">
      <c r="A737" s="8" t="str">
        <f t="shared" si="21"/>
        <v>DNV-TRCA - 170</v>
      </c>
      <c r="E737" s="51">
        <v>170</v>
      </c>
    </row>
    <row r="738" spans="1:5" x14ac:dyDescent="0.25">
      <c r="A738" s="8" t="str">
        <f t="shared" si="21"/>
        <v>DNV-TRCA - 180</v>
      </c>
      <c r="E738" s="51">
        <v>180</v>
      </c>
    </row>
    <row r="739" spans="1:5" x14ac:dyDescent="0.25">
      <c r="A739" s="8" t="str">
        <f t="shared" si="21"/>
        <v>DNV-TRCA - 200</v>
      </c>
      <c r="E739" s="51">
        <v>200</v>
      </c>
    </row>
    <row r="740" spans="1:5" x14ac:dyDescent="0.25">
      <c r="A740" s="8" t="str">
        <f t="shared" si="21"/>
        <v>DNV-TRCA - 225</v>
      </c>
      <c r="E740" s="51">
        <v>225</v>
      </c>
    </row>
    <row r="741" spans="1:5" x14ac:dyDescent="0.25">
      <c r="A741" s="8" t="str">
        <f t="shared" si="21"/>
        <v>DNV-TRCA - 250</v>
      </c>
      <c r="E741" s="51">
        <v>250</v>
      </c>
    </row>
    <row r="742" spans="1:5" x14ac:dyDescent="0.25">
      <c r="A742" s="8" t="str">
        <f t="shared" si="21"/>
        <v>DNV-TRCA - 275</v>
      </c>
      <c r="E742" s="51">
        <v>275</v>
      </c>
    </row>
    <row r="743" spans="1:5" x14ac:dyDescent="0.25">
      <c r="A743" s="8" t="str">
        <f t="shared" si="21"/>
        <v>DNV-TRCA - 300</v>
      </c>
      <c r="E743" s="51">
        <v>300</v>
      </c>
    </row>
    <row r="744" spans="1:5" x14ac:dyDescent="0.25">
      <c r="A744" s="8" t="str">
        <f t="shared" si="21"/>
        <v>DNV-TRCA - 325</v>
      </c>
      <c r="E744" s="51">
        <v>325</v>
      </c>
    </row>
    <row r="745" spans="1:5" x14ac:dyDescent="0.25">
      <c r="A745" s="8" t="str">
        <f t="shared" si="21"/>
        <v>DNV-TRCA - 350</v>
      </c>
      <c r="E745" s="51">
        <v>350</v>
      </c>
    </row>
    <row r="746" spans="1:5" x14ac:dyDescent="0.25">
      <c r="A746" s="8" t="str">
        <f t="shared" si="21"/>
        <v>DNV-TRCA - 375</v>
      </c>
      <c r="E746" s="51">
        <v>375</v>
      </c>
    </row>
    <row r="747" spans="1:5" x14ac:dyDescent="0.25">
      <c r="A747" s="8" t="str">
        <f t="shared" si="21"/>
        <v>DNV-TRCA - 400</v>
      </c>
      <c r="E747" s="51">
        <v>400</v>
      </c>
    </row>
    <row r="748" spans="1:5" x14ac:dyDescent="0.25">
      <c r="A748" s="8" t="str">
        <f t="shared" si="21"/>
        <v>DNV-TRCA - 425</v>
      </c>
      <c r="E748" s="51">
        <v>425</v>
      </c>
    </row>
    <row r="749" spans="1:5" x14ac:dyDescent="0.25">
      <c r="A749" s="8" t="str">
        <f t="shared" si="21"/>
        <v>DNV-TRCA - 450</v>
      </c>
      <c r="E749" s="51">
        <v>450</v>
      </c>
    </row>
    <row r="750" spans="1:5" x14ac:dyDescent="0.25">
      <c r="A750" s="8" t="str">
        <f t="shared" si="21"/>
        <v>DNV-TRCA - 475</v>
      </c>
      <c r="E750" s="51">
        <v>475</v>
      </c>
    </row>
    <row r="751" spans="1:5" x14ac:dyDescent="0.25">
      <c r="A751" s="8" t="str">
        <f t="shared" si="21"/>
        <v>DNV-TRCA - 500</v>
      </c>
      <c r="E751" s="51">
        <v>500</v>
      </c>
    </row>
    <row r="752" spans="1:5" x14ac:dyDescent="0.25">
      <c r="A752" s="8" t="str">
        <f t="shared" si="21"/>
        <v>DNV-TRCA - 600</v>
      </c>
      <c r="E752" s="51">
        <v>600</v>
      </c>
    </row>
    <row r="753" spans="1:5" x14ac:dyDescent="0.25">
      <c r="A753" s="8" t="str">
        <f t="shared" si="21"/>
        <v>DNV-TRCA - 800</v>
      </c>
      <c r="E753" s="51">
        <v>800</v>
      </c>
    </row>
    <row r="754" spans="1:5" x14ac:dyDescent="0.25">
      <c r="A754" s="8" t="str">
        <f t="shared" si="21"/>
        <v>DNV-TRCA - 1000</v>
      </c>
      <c r="E754" s="51">
        <v>1000</v>
      </c>
    </row>
    <row r="759" spans="1:5" x14ac:dyDescent="0.25">
      <c r="B759" s="6" t="s">
        <v>858</v>
      </c>
    </row>
    <row r="761" spans="1:5" x14ac:dyDescent="0.25">
      <c r="B761" s="10" t="s">
        <v>43</v>
      </c>
      <c r="C761" s="10" t="s">
        <v>859</v>
      </c>
    </row>
    <row r="762" spans="1:5" x14ac:dyDescent="0.25">
      <c r="A762" s="8" t="str">
        <f>CONCATENATE("IIEE-SJ - ",B762)</f>
        <v>IIEE-SJ - 1</v>
      </c>
      <c r="B762" s="10">
        <v>1</v>
      </c>
      <c r="E762" s="10" t="s">
        <v>860</v>
      </c>
    </row>
    <row r="763" spans="1:5" x14ac:dyDescent="0.25">
      <c r="A763" s="8" t="str">
        <f>CONCATENATE("IIEE-SJ - ",B763)</f>
        <v>IIEE-SJ - 101000</v>
      </c>
      <c r="B763" s="10">
        <v>101000</v>
      </c>
      <c r="E763" s="10" t="s">
        <v>726</v>
      </c>
    </row>
    <row r="764" spans="1:5" x14ac:dyDescent="0.25">
      <c r="A764" s="8" t="str">
        <f>CONCATENATE("IIEE-SJ - ",B764)</f>
        <v>IIEE-SJ - 102000</v>
      </c>
      <c r="B764" s="10">
        <v>102000</v>
      </c>
      <c r="E764" s="10" t="s">
        <v>727</v>
      </c>
    </row>
    <row r="765" spans="1:5" x14ac:dyDescent="0.25">
      <c r="A765" s="8" t="str">
        <f>CONCATENATE("IIEE-SJ - ",B765)</f>
        <v>IIEE-SJ - 103000</v>
      </c>
      <c r="B765" s="10">
        <v>103000</v>
      </c>
      <c r="E765" s="10" t="s">
        <v>728</v>
      </c>
    </row>
    <row r="766" spans="1:5" x14ac:dyDescent="0.25">
      <c r="A766" s="8"/>
    </row>
    <row r="767" spans="1:5" x14ac:dyDescent="0.25">
      <c r="A767" s="8" t="str">
        <f>CONCATENATE("IIEE-SJ - ",B767)</f>
        <v>IIEE-SJ - 2</v>
      </c>
      <c r="B767" s="10">
        <v>2</v>
      </c>
      <c r="E767" s="10" t="s">
        <v>861</v>
      </c>
    </row>
    <row r="768" spans="1:5" x14ac:dyDescent="0.25">
      <c r="A768" s="8"/>
    </row>
    <row r="769" spans="1:5" x14ac:dyDescent="0.25">
      <c r="A769" s="8" t="str">
        <f>CONCATENATE("IIEE-SJ - ",B769)</f>
        <v>IIEE-SJ - 201</v>
      </c>
      <c r="B769" s="10">
        <v>201</v>
      </c>
      <c r="E769" s="10" t="s">
        <v>862</v>
      </c>
    </row>
    <row r="770" spans="1:5" x14ac:dyDescent="0.25">
      <c r="A770" s="8" t="str">
        <f>CONCATENATE("IIEE-SJ - ",B770)</f>
        <v>IIEE-SJ - 201001</v>
      </c>
      <c r="B770" s="10">
        <v>201001</v>
      </c>
      <c r="E770" s="10" t="s">
        <v>584</v>
      </c>
    </row>
    <row r="771" spans="1:5" x14ac:dyDescent="0.25">
      <c r="A771" s="8" t="str">
        <f>CONCATENATE("IIEE-SJ - ",B771)</f>
        <v>IIEE-SJ - 201002</v>
      </c>
      <c r="B771" s="10">
        <v>201002</v>
      </c>
      <c r="E771" s="10" t="s">
        <v>585</v>
      </c>
    </row>
    <row r="772" spans="1:5" x14ac:dyDescent="0.25">
      <c r="A772" s="8" t="str">
        <f>CONCATENATE("IIEE-SJ - ",B772)</f>
        <v>IIEE-SJ - 201003</v>
      </c>
      <c r="B772" s="10">
        <v>201003</v>
      </c>
      <c r="E772" s="10" t="s">
        <v>586</v>
      </c>
    </row>
    <row r="773" spans="1:5" x14ac:dyDescent="0.25">
      <c r="A773" s="8" t="str">
        <f>CONCATENATE("IIEE-SJ - ",B773)</f>
        <v>IIEE-SJ - 201004</v>
      </c>
      <c r="B773" s="10">
        <v>201004</v>
      </c>
      <c r="E773" s="10" t="s">
        <v>712</v>
      </c>
    </row>
    <row r="774" spans="1:5" x14ac:dyDescent="0.25">
      <c r="A774" s="8"/>
    </row>
    <row r="775" spans="1:5" x14ac:dyDescent="0.25">
      <c r="A775" s="8" t="str">
        <f>CONCATENATE("IIEE-SJ - ",B775)</f>
        <v>IIEE-SJ - 202</v>
      </c>
      <c r="B775" s="10">
        <v>202</v>
      </c>
      <c r="E775" s="10" t="s">
        <v>863</v>
      </c>
    </row>
    <row r="776" spans="1:5" x14ac:dyDescent="0.25">
      <c r="A776" s="8" t="str">
        <f>CONCATENATE("IIEE-SJ - ",B776)</f>
        <v>IIEE-SJ - 202001</v>
      </c>
      <c r="B776" s="10">
        <v>202001</v>
      </c>
      <c r="E776" s="10" t="s">
        <v>587</v>
      </c>
    </row>
    <row r="777" spans="1:5" x14ac:dyDescent="0.25">
      <c r="A777" s="8" t="str">
        <f>CONCATENATE("IIEE-SJ - ",B777)</f>
        <v>IIEE-SJ - 202002</v>
      </c>
      <c r="B777" s="10">
        <v>202002</v>
      </c>
      <c r="E777" s="10" t="s">
        <v>588</v>
      </c>
    </row>
    <row r="778" spans="1:5" x14ac:dyDescent="0.25">
      <c r="A778" s="8" t="str">
        <f>CONCATENATE("IIEE-SJ - ",B778)</f>
        <v>IIEE-SJ - 202003</v>
      </c>
      <c r="B778" s="10">
        <v>202003</v>
      </c>
      <c r="E778" s="10" t="s">
        <v>589</v>
      </c>
    </row>
    <row r="779" spans="1:5" x14ac:dyDescent="0.25">
      <c r="A779" s="8" t="str">
        <f>CONCATENATE("IIEE-SJ - ",B779)</f>
        <v>IIEE-SJ - 202004</v>
      </c>
      <c r="B779" s="10">
        <v>202004</v>
      </c>
      <c r="E779" s="10" t="s">
        <v>682</v>
      </c>
    </row>
    <row r="780" spans="1:5" x14ac:dyDescent="0.25">
      <c r="A780" s="8"/>
    </row>
    <row r="781" spans="1:5" x14ac:dyDescent="0.25">
      <c r="A781" s="8" t="str">
        <f>CONCATENATE("IIEE-SJ - ",B781)</f>
        <v>IIEE-SJ - 203</v>
      </c>
      <c r="B781" s="10">
        <v>203</v>
      </c>
      <c r="E781" s="10" t="s">
        <v>864</v>
      </c>
    </row>
    <row r="782" spans="1:5" x14ac:dyDescent="0.25">
      <c r="A782" s="8" t="str">
        <f>CONCATENATE("IIEE-SJ - ",B782)</f>
        <v>IIEE-SJ - 203001</v>
      </c>
      <c r="B782" s="10">
        <v>203001</v>
      </c>
      <c r="E782" s="10" t="s">
        <v>865</v>
      </c>
    </row>
    <row r="783" spans="1:5" x14ac:dyDescent="0.25">
      <c r="A783" s="8" t="str">
        <f>CONCATENATE("IIEE-SJ - ",B783)</f>
        <v>IIEE-SJ - 203002</v>
      </c>
      <c r="B783" s="10">
        <v>203002</v>
      </c>
      <c r="E783" s="10" t="s">
        <v>715</v>
      </c>
    </row>
    <row r="784" spans="1:5" x14ac:dyDescent="0.25">
      <c r="A784" s="8"/>
    </row>
    <row r="785" spans="1:5" x14ac:dyDescent="0.25">
      <c r="A785" s="8" t="str">
        <f t="shared" ref="A785:A790" si="22">CONCATENATE("IIEE-SJ - ",B785)</f>
        <v>IIEE-SJ - 204</v>
      </c>
      <c r="B785" s="10">
        <v>204</v>
      </c>
      <c r="E785" s="10" t="s">
        <v>866</v>
      </c>
    </row>
    <row r="786" spans="1:5" ht="12" x14ac:dyDescent="0.25">
      <c r="A786" s="8" t="str">
        <f t="shared" si="22"/>
        <v>IIEE-SJ - 204001</v>
      </c>
      <c r="B786" s="10">
        <v>204001</v>
      </c>
      <c r="E786" s="52" t="s">
        <v>867</v>
      </c>
    </row>
    <row r="787" spans="1:5" ht="12" x14ac:dyDescent="0.25">
      <c r="A787" s="8" t="str">
        <f t="shared" si="22"/>
        <v>IIEE-SJ - 204002</v>
      </c>
      <c r="B787" s="10">
        <v>204002</v>
      </c>
      <c r="E787" s="52" t="s">
        <v>868</v>
      </c>
    </row>
    <row r="788" spans="1:5" ht="12" x14ac:dyDescent="0.25">
      <c r="A788" s="8" t="str">
        <f t="shared" si="22"/>
        <v>IIEE-SJ - 204003</v>
      </c>
      <c r="B788" s="10">
        <v>204003</v>
      </c>
      <c r="E788" s="52" t="s">
        <v>869</v>
      </c>
    </row>
    <row r="789" spans="1:5" x14ac:dyDescent="0.25">
      <c r="A789" s="8" t="str">
        <f t="shared" si="22"/>
        <v>IIEE-SJ - 204004</v>
      </c>
      <c r="B789" s="10">
        <v>204004</v>
      </c>
      <c r="E789" s="10" t="s">
        <v>692</v>
      </c>
    </row>
    <row r="790" spans="1:5" x14ac:dyDescent="0.25">
      <c r="A790" s="8" t="str">
        <f t="shared" si="22"/>
        <v>IIEE-SJ - 204005</v>
      </c>
      <c r="B790" s="10">
        <v>204005</v>
      </c>
      <c r="E790" s="10" t="s">
        <v>693</v>
      </c>
    </row>
    <row r="791" spans="1:5" x14ac:dyDescent="0.25">
      <c r="A791" s="8"/>
    </row>
    <row r="792" spans="1:5" x14ac:dyDescent="0.25">
      <c r="A792" s="8" t="str">
        <f t="shared" ref="A792:A797" si="23">CONCATENATE("IIEE-SJ - ",B792)</f>
        <v>IIEE-SJ - 205</v>
      </c>
      <c r="B792" s="10">
        <v>205</v>
      </c>
      <c r="E792" s="10" t="s">
        <v>870</v>
      </c>
    </row>
    <row r="793" spans="1:5" x14ac:dyDescent="0.25">
      <c r="A793" s="8" t="str">
        <f t="shared" si="23"/>
        <v>IIEE-SJ - 205001</v>
      </c>
      <c r="B793" s="10">
        <v>205001</v>
      </c>
      <c r="E793" s="10" t="s">
        <v>871</v>
      </c>
    </row>
    <row r="794" spans="1:5" x14ac:dyDescent="0.25">
      <c r="A794" s="8" t="str">
        <f t="shared" si="23"/>
        <v>IIEE-SJ - 205002</v>
      </c>
      <c r="B794" s="10">
        <v>205002</v>
      </c>
      <c r="E794" s="10" t="s">
        <v>872</v>
      </c>
    </row>
    <row r="795" spans="1:5" x14ac:dyDescent="0.25">
      <c r="A795" s="8" t="str">
        <f t="shared" si="23"/>
        <v>IIEE-SJ - 205003</v>
      </c>
      <c r="B795" s="10">
        <v>205003</v>
      </c>
      <c r="E795" s="10" t="s">
        <v>690</v>
      </c>
    </row>
    <row r="796" spans="1:5" x14ac:dyDescent="0.25">
      <c r="A796" s="8" t="str">
        <f t="shared" si="23"/>
        <v>IIEE-SJ - 205004</v>
      </c>
      <c r="B796" s="10">
        <v>205004</v>
      </c>
      <c r="E796" s="10" t="s">
        <v>691</v>
      </c>
    </row>
    <row r="797" spans="1:5" x14ac:dyDescent="0.25">
      <c r="A797" s="8" t="str">
        <f t="shared" si="23"/>
        <v>IIEE-SJ - 205005</v>
      </c>
      <c r="B797" s="10">
        <v>205005</v>
      </c>
      <c r="E797" s="10" t="s">
        <v>689</v>
      </c>
    </row>
    <row r="798" spans="1:5" x14ac:dyDescent="0.25">
      <c r="A798" s="8"/>
    </row>
    <row r="799" spans="1:5" x14ac:dyDescent="0.25">
      <c r="A799" s="8" t="str">
        <f>CONCATENATE("IIEE-SJ - ",B799)</f>
        <v>IIEE-SJ - 206</v>
      </c>
      <c r="B799" s="10">
        <v>206</v>
      </c>
      <c r="E799" s="10" t="s">
        <v>873</v>
      </c>
    </row>
    <row r="800" spans="1:5" x14ac:dyDescent="0.25">
      <c r="A800" s="8" t="str">
        <f>CONCATENATE("IIEE-SJ - ",B800)</f>
        <v>IIEE-SJ - 206001</v>
      </c>
      <c r="B800" s="10">
        <v>206001</v>
      </c>
      <c r="E800" s="10" t="s">
        <v>874</v>
      </c>
    </row>
    <row r="801" spans="1:5" x14ac:dyDescent="0.25">
      <c r="A801" s="8" t="str">
        <f>CONCATENATE("IIEE-SJ - ",B801)</f>
        <v>IIEE-SJ - 206002</v>
      </c>
      <c r="B801" s="10">
        <v>206002</v>
      </c>
      <c r="E801" s="10" t="s">
        <v>590</v>
      </c>
    </row>
    <row r="802" spans="1:5" x14ac:dyDescent="0.25">
      <c r="A802" s="8" t="str">
        <f>CONCATENATE("IIEE-SJ - ",B802)</f>
        <v>IIEE-SJ - 206003</v>
      </c>
      <c r="B802" s="10">
        <v>206003</v>
      </c>
      <c r="E802" s="10" t="s">
        <v>683</v>
      </c>
    </row>
    <row r="803" spans="1:5" x14ac:dyDescent="0.25">
      <c r="A803" s="8" t="str">
        <f>CONCATENATE("IIEE-SJ - ",B803)</f>
        <v>IIEE-SJ - 206004</v>
      </c>
      <c r="B803" s="10">
        <v>206004</v>
      </c>
      <c r="E803" s="10" t="s">
        <v>684</v>
      </c>
    </row>
    <row r="804" spans="1:5" x14ac:dyDescent="0.25">
      <c r="A804" s="8"/>
    </row>
    <row r="805" spans="1:5" x14ac:dyDescent="0.25">
      <c r="A805" s="8" t="str">
        <f>CONCATENATE("IIEE-SJ - ",B805)</f>
        <v>IIEE-SJ - 207</v>
      </c>
      <c r="B805" s="10">
        <v>207</v>
      </c>
      <c r="E805" s="10" t="s">
        <v>875</v>
      </c>
    </row>
    <row r="806" spans="1:5" x14ac:dyDescent="0.25">
      <c r="A806" s="8" t="str">
        <f>CONCATENATE("IIEE-SJ - ",B806)</f>
        <v>IIEE-SJ - 207001</v>
      </c>
      <c r="B806" s="10">
        <v>207001</v>
      </c>
      <c r="E806" s="10" t="s">
        <v>591</v>
      </c>
    </row>
    <row r="807" spans="1:5" x14ac:dyDescent="0.25">
      <c r="A807" s="8" t="str">
        <f>CONCATENATE("IIEE-SJ - ",B807)</f>
        <v>IIEE-SJ - 207002</v>
      </c>
      <c r="B807" s="10">
        <v>207002</v>
      </c>
      <c r="E807" s="10" t="s">
        <v>876</v>
      </c>
    </row>
    <row r="808" spans="1:5" x14ac:dyDescent="0.25">
      <c r="A808" s="8" t="str">
        <f>CONCATENATE("IIEE-SJ - ",B808)</f>
        <v>IIEE-SJ - 207003</v>
      </c>
      <c r="B808" s="10">
        <v>207003</v>
      </c>
      <c r="E808" s="10" t="s">
        <v>685</v>
      </c>
    </row>
    <row r="809" spans="1:5" x14ac:dyDescent="0.25">
      <c r="A809" s="8" t="str">
        <f>CONCATENATE("IIEE-SJ - ",B809)</f>
        <v>IIEE-SJ - 207004</v>
      </c>
      <c r="B809" s="10">
        <v>207004</v>
      </c>
      <c r="E809" s="10" t="s">
        <v>688</v>
      </c>
    </row>
    <row r="810" spans="1:5" x14ac:dyDescent="0.25">
      <c r="A810" s="8"/>
    </row>
    <row r="811" spans="1:5" x14ac:dyDescent="0.25">
      <c r="A811" s="8" t="str">
        <f>CONCATENATE("IIEE-SJ - ",B811)</f>
        <v>IIEE-SJ - 208</v>
      </c>
      <c r="B811" s="10">
        <v>208</v>
      </c>
      <c r="E811" s="10" t="s">
        <v>877</v>
      </c>
    </row>
    <row r="812" spans="1:5" x14ac:dyDescent="0.25">
      <c r="A812" s="8" t="str">
        <f>CONCATENATE("IIEE-SJ - ",B812)</f>
        <v>IIEE-SJ - 208001</v>
      </c>
      <c r="B812" s="10">
        <v>208001</v>
      </c>
      <c r="E812" s="10" t="s">
        <v>592</v>
      </c>
    </row>
    <row r="813" spans="1:5" x14ac:dyDescent="0.25">
      <c r="A813" s="8" t="str">
        <f>CONCATENATE("IIEE-SJ - ",B813)</f>
        <v>IIEE-SJ - 208001</v>
      </c>
      <c r="B813" s="10">
        <v>208001</v>
      </c>
      <c r="E813" s="10" t="s">
        <v>878</v>
      </c>
    </row>
    <row r="814" spans="1:5" x14ac:dyDescent="0.25">
      <c r="A814" s="8"/>
    </row>
    <row r="815" spans="1:5" x14ac:dyDescent="0.25">
      <c r="A815" s="8" t="str">
        <f t="shared" ref="A815:A823" si="24">CONCATENATE("IIEE-SJ - ",B815)</f>
        <v>IIEE-SJ - 209</v>
      </c>
      <c r="B815" s="10">
        <v>209</v>
      </c>
      <c r="E815" s="10" t="s">
        <v>879</v>
      </c>
    </row>
    <row r="816" spans="1:5" x14ac:dyDescent="0.25">
      <c r="A816" s="8" t="str">
        <f t="shared" si="24"/>
        <v>IIEE-SJ - 209001</v>
      </c>
      <c r="B816" s="10">
        <v>209001</v>
      </c>
      <c r="E816" s="10" t="s">
        <v>593</v>
      </c>
    </row>
    <row r="817" spans="1:5" x14ac:dyDescent="0.25">
      <c r="A817" s="8" t="str">
        <f t="shared" si="24"/>
        <v>IIEE-SJ - 209002</v>
      </c>
      <c r="B817" s="10">
        <v>209002</v>
      </c>
      <c r="E817" s="10" t="s">
        <v>594</v>
      </c>
    </row>
    <row r="818" spans="1:5" x14ac:dyDescent="0.25">
      <c r="A818" s="8" t="str">
        <f t="shared" si="24"/>
        <v>IIEE-SJ - 209003</v>
      </c>
      <c r="B818" s="10">
        <v>209003</v>
      </c>
      <c r="E818" s="10" t="s">
        <v>595</v>
      </c>
    </row>
    <row r="819" spans="1:5" x14ac:dyDescent="0.25">
      <c r="A819" s="8" t="str">
        <f t="shared" si="24"/>
        <v>IIEE-SJ - 209004</v>
      </c>
      <c r="B819" s="10">
        <v>209004</v>
      </c>
      <c r="E819" s="10" t="s">
        <v>596</v>
      </c>
    </row>
    <row r="820" spans="1:5" x14ac:dyDescent="0.25">
      <c r="A820" s="8" t="str">
        <f t="shared" si="24"/>
        <v>IIEE-SJ - 209005</v>
      </c>
      <c r="B820" s="10">
        <v>209005</v>
      </c>
      <c r="E820" s="10" t="s">
        <v>697</v>
      </c>
    </row>
    <row r="821" spans="1:5" x14ac:dyDescent="0.25">
      <c r="A821" s="8" t="str">
        <f t="shared" si="24"/>
        <v>IIEE-SJ - 209006</v>
      </c>
      <c r="B821" s="10">
        <v>209006</v>
      </c>
      <c r="E821" s="10" t="s">
        <v>698</v>
      </c>
    </row>
    <row r="822" spans="1:5" x14ac:dyDescent="0.25">
      <c r="A822" s="8" t="str">
        <f t="shared" si="24"/>
        <v>IIEE-SJ - 209007</v>
      </c>
      <c r="B822" s="10">
        <v>209007</v>
      </c>
      <c r="E822" s="10" t="s">
        <v>699</v>
      </c>
    </row>
    <row r="823" spans="1:5" x14ac:dyDescent="0.25">
      <c r="A823" s="8" t="str">
        <f t="shared" si="24"/>
        <v>IIEE-SJ - 209008</v>
      </c>
      <c r="B823" s="10">
        <v>209008</v>
      </c>
      <c r="E823" s="10" t="s">
        <v>700</v>
      </c>
    </row>
    <row r="824" spans="1:5" x14ac:dyDescent="0.25">
      <c r="A824" s="8"/>
    </row>
    <row r="825" spans="1:5" x14ac:dyDescent="0.25">
      <c r="A825" s="8" t="str">
        <f t="shared" ref="A825:A833" si="25">CONCATENATE("IIEE-SJ - ",B825)</f>
        <v>IIEE-SJ - 210</v>
      </c>
      <c r="B825" s="10">
        <v>210</v>
      </c>
      <c r="E825" s="10" t="s">
        <v>880</v>
      </c>
    </row>
    <row r="826" spans="1:5" x14ac:dyDescent="0.25">
      <c r="A826" s="8" t="str">
        <f t="shared" si="25"/>
        <v>IIEE-SJ - 210001</v>
      </c>
      <c r="B826" s="10">
        <v>210001</v>
      </c>
      <c r="E826" s="10" t="s">
        <v>597</v>
      </c>
    </row>
    <row r="827" spans="1:5" x14ac:dyDescent="0.25">
      <c r="A827" s="8" t="str">
        <f t="shared" si="25"/>
        <v>IIEE-SJ - 210002</v>
      </c>
      <c r="B827" s="10">
        <v>210002</v>
      </c>
      <c r="E827" s="10" t="s">
        <v>598</v>
      </c>
    </row>
    <row r="828" spans="1:5" x14ac:dyDescent="0.25">
      <c r="A828" s="8" t="str">
        <f t="shared" si="25"/>
        <v>IIEE-SJ - 210003</v>
      </c>
      <c r="B828" s="10">
        <v>210003</v>
      </c>
      <c r="E828" s="10" t="s">
        <v>599</v>
      </c>
    </row>
    <row r="829" spans="1:5" x14ac:dyDescent="0.25">
      <c r="A829" s="8" t="str">
        <f t="shared" si="25"/>
        <v>IIEE-SJ - 210004</v>
      </c>
      <c r="B829" s="10">
        <v>210004</v>
      </c>
      <c r="E829" s="10" t="s">
        <v>600</v>
      </c>
    </row>
    <row r="830" spans="1:5" x14ac:dyDescent="0.25">
      <c r="A830" s="8" t="str">
        <f t="shared" si="25"/>
        <v>IIEE-SJ - 210005</v>
      </c>
      <c r="B830" s="10">
        <v>210005</v>
      </c>
      <c r="E830" s="10" t="s">
        <v>601</v>
      </c>
    </row>
    <row r="831" spans="1:5" x14ac:dyDescent="0.25">
      <c r="A831" s="8" t="str">
        <f t="shared" si="25"/>
        <v>IIEE-SJ - 210006</v>
      </c>
      <c r="B831" s="10">
        <v>210006</v>
      </c>
      <c r="E831" s="10" t="s">
        <v>602</v>
      </c>
    </row>
    <row r="832" spans="1:5" x14ac:dyDescent="0.25">
      <c r="A832" s="8" t="str">
        <f t="shared" si="25"/>
        <v>IIEE-SJ - 210007</v>
      </c>
      <c r="B832" s="10">
        <v>210007</v>
      </c>
      <c r="E832" s="10" t="s">
        <v>603</v>
      </c>
    </row>
    <row r="833" spans="1:5" x14ac:dyDescent="0.25">
      <c r="A833" s="8" t="str">
        <f t="shared" si="25"/>
        <v>IIEE-SJ - 210008</v>
      </c>
      <c r="B833" s="10">
        <v>210008</v>
      </c>
      <c r="E833" s="10" t="s">
        <v>604</v>
      </c>
    </row>
    <row r="834" spans="1:5" x14ac:dyDescent="0.25">
      <c r="A834" s="8"/>
    </row>
    <row r="835" spans="1:5" x14ac:dyDescent="0.25">
      <c r="A835" s="8" t="str">
        <f t="shared" ref="A835:A844" si="26">CONCATENATE("IIEE-SJ - ",B835)</f>
        <v>IIEE-SJ - 211</v>
      </c>
      <c r="B835" s="10">
        <v>211</v>
      </c>
      <c r="E835" s="10" t="s">
        <v>881</v>
      </c>
    </row>
    <row r="836" spans="1:5" x14ac:dyDescent="0.25">
      <c r="A836" s="8" t="str">
        <f t="shared" si="26"/>
        <v>IIEE-SJ - 211001</v>
      </c>
      <c r="B836" s="10">
        <v>211001</v>
      </c>
      <c r="E836" s="10" t="s">
        <v>605</v>
      </c>
    </row>
    <row r="837" spans="1:5" x14ac:dyDescent="0.25">
      <c r="A837" s="8" t="str">
        <f t="shared" si="26"/>
        <v>IIEE-SJ - 211002</v>
      </c>
      <c r="B837" s="10">
        <v>211002</v>
      </c>
      <c r="E837" s="10" t="s">
        <v>606</v>
      </c>
    </row>
    <row r="838" spans="1:5" x14ac:dyDescent="0.25">
      <c r="A838" s="8" t="str">
        <f t="shared" si="26"/>
        <v>IIEE-SJ - 211003</v>
      </c>
      <c r="B838" s="10">
        <v>211003</v>
      </c>
      <c r="E838" s="10" t="s">
        <v>607</v>
      </c>
    </row>
    <row r="839" spans="1:5" x14ac:dyDescent="0.25">
      <c r="A839" s="8" t="str">
        <f t="shared" si="26"/>
        <v>IIEE-SJ - 211004</v>
      </c>
      <c r="B839" s="10">
        <v>211004</v>
      </c>
      <c r="E839" s="10" t="s">
        <v>608</v>
      </c>
    </row>
    <row r="840" spans="1:5" x14ac:dyDescent="0.25">
      <c r="A840" s="8" t="str">
        <f t="shared" si="26"/>
        <v>IIEE-SJ - 211005</v>
      </c>
      <c r="B840" s="10">
        <v>211005</v>
      </c>
      <c r="E840" s="10" t="s">
        <v>609</v>
      </c>
    </row>
    <row r="841" spans="1:5" x14ac:dyDescent="0.25">
      <c r="A841" s="8" t="str">
        <f t="shared" si="26"/>
        <v>IIEE-SJ - 211006</v>
      </c>
      <c r="B841" s="10">
        <v>211006</v>
      </c>
      <c r="E841" s="10" t="s">
        <v>713</v>
      </c>
    </row>
    <row r="842" spans="1:5" x14ac:dyDescent="0.25">
      <c r="A842" s="8" t="str">
        <f t="shared" si="26"/>
        <v>IIEE-SJ - 211007</v>
      </c>
      <c r="B842" s="10">
        <v>211007</v>
      </c>
      <c r="E842" s="10" t="s">
        <v>714</v>
      </c>
    </row>
    <row r="843" spans="1:5" x14ac:dyDescent="0.25">
      <c r="A843" s="8" t="str">
        <f t="shared" si="26"/>
        <v>IIEE-SJ - 211008</v>
      </c>
      <c r="B843" s="10">
        <v>211008</v>
      </c>
      <c r="E843" s="10" t="s">
        <v>882</v>
      </c>
    </row>
    <row r="844" spans="1:5" x14ac:dyDescent="0.25">
      <c r="A844" s="8" t="str">
        <f t="shared" si="26"/>
        <v>IIEE-SJ - 211009</v>
      </c>
      <c r="B844" s="10">
        <v>211009</v>
      </c>
      <c r="E844" s="10" t="s">
        <v>883</v>
      </c>
    </row>
    <row r="845" spans="1:5" x14ac:dyDescent="0.25">
      <c r="A845" s="8"/>
    </row>
    <row r="846" spans="1:5" x14ac:dyDescent="0.25">
      <c r="A846" s="8" t="str">
        <f>CONCATENATE("IIEE-SJ - ",B846)</f>
        <v>IIEE-SJ - 212</v>
      </c>
      <c r="B846" s="10">
        <v>212</v>
      </c>
      <c r="E846" s="10" t="s">
        <v>884</v>
      </c>
    </row>
    <row r="847" spans="1:5" x14ac:dyDescent="0.25">
      <c r="A847" s="8" t="str">
        <f>CONCATENATE("IIEE-SJ - ",B847)</f>
        <v>IIEE-SJ - 212001</v>
      </c>
      <c r="B847" s="10">
        <v>212001</v>
      </c>
      <c r="E847" s="10" t="s">
        <v>610</v>
      </c>
    </row>
    <row r="848" spans="1:5" x14ac:dyDescent="0.25">
      <c r="A848" s="8" t="str">
        <f>CONCATENATE("IIEE-SJ - ",B848)</f>
        <v>IIEE-SJ - 212002</v>
      </c>
      <c r="B848" s="10">
        <v>212002</v>
      </c>
      <c r="E848" s="10" t="s">
        <v>611</v>
      </c>
    </row>
    <row r="849" spans="1:5" x14ac:dyDescent="0.25">
      <c r="A849" s="8" t="str">
        <f>CONCATENATE("IIEE-SJ - ",B849)</f>
        <v>IIEE-SJ - 212003</v>
      </c>
      <c r="B849" s="10">
        <v>212003</v>
      </c>
      <c r="E849" s="10" t="s">
        <v>612</v>
      </c>
    </row>
    <row r="850" spans="1:5" x14ac:dyDescent="0.25">
      <c r="A850" s="8" t="str">
        <f>CONCATENATE("IIEE-SJ - ",B850)</f>
        <v>IIEE-SJ - 212004</v>
      </c>
      <c r="B850" s="10">
        <v>212004</v>
      </c>
      <c r="E850" s="10" t="s">
        <v>613</v>
      </c>
    </row>
    <row r="851" spans="1:5" x14ac:dyDescent="0.25">
      <c r="A851" s="8"/>
    </row>
    <row r="852" spans="1:5" x14ac:dyDescent="0.25">
      <c r="A852" s="8" t="str">
        <f t="shared" ref="A852:A860" si="27">CONCATENATE("IIEE-SJ - ",B852)</f>
        <v>IIEE-SJ - 213</v>
      </c>
      <c r="B852" s="10">
        <v>213</v>
      </c>
      <c r="E852" s="10" t="s">
        <v>885</v>
      </c>
    </row>
    <row r="853" spans="1:5" x14ac:dyDescent="0.25">
      <c r="A853" s="8" t="str">
        <f t="shared" si="27"/>
        <v>IIEE-SJ - 213001</v>
      </c>
      <c r="B853" s="10">
        <v>213001</v>
      </c>
      <c r="E853" s="10" t="s">
        <v>614</v>
      </c>
    </row>
    <row r="854" spans="1:5" x14ac:dyDescent="0.25">
      <c r="A854" s="8" t="str">
        <f t="shared" si="27"/>
        <v>IIEE-SJ - 213002</v>
      </c>
      <c r="B854" s="10">
        <v>213002</v>
      </c>
      <c r="E854" s="10" t="s">
        <v>615</v>
      </c>
    </row>
    <row r="855" spans="1:5" x14ac:dyDescent="0.25">
      <c r="A855" s="8" t="str">
        <f t="shared" si="27"/>
        <v>IIEE-SJ - 213003</v>
      </c>
      <c r="B855" s="10">
        <v>213003</v>
      </c>
      <c r="E855" s="10" t="s">
        <v>616</v>
      </c>
    </row>
    <row r="856" spans="1:5" x14ac:dyDescent="0.25">
      <c r="A856" s="8" t="str">
        <f t="shared" si="27"/>
        <v>IIEE-SJ - 213004</v>
      </c>
      <c r="B856" s="10">
        <v>213004</v>
      </c>
      <c r="E856" s="10" t="s">
        <v>617</v>
      </c>
    </row>
    <row r="857" spans="1:5" x14ac:dyDescent="0.25">
      <c r="A857" s="8" t="str">
        <f t="shared" si="27"/>
        <v>IIEE-SJ - 213005</v>
      </c>
      <c r="B857" s="10">
        <v>213005</v>
      </c>
      <c r="E857" s="10" t="s">
        <v>618</v>
      </c>
    </row>
    <row r="858" spans="1:5" x14ac:dyDescent="0.25">
      <c r="A858" s="8" t="str">
        <f t="shared" si="27"/>
        <v>IIEE-SJ - 213006</v>
      </c>
      <c r="B858" s="10">
        <v>213006</v>
      </c>
      <c r="E858" s="10" t="s">
        <v>619</v>
      </c>
    </row>
    <row r="859" spans="1:5" x14ac:dyDescent="0.25">
      <c r="A859" s="8" t="str">
        <f t="shared" si="27"/>
        <v>IIEE-SJ - 213007</v>
      </c>
      <c r="B859" s="10">
        <v>213007</v>
      </c>
      <c r="E859" s="10" t="s">
        <v>620</v>
      </c>
    </row>
    <row r="860" spans="1:5" x14ac:dyDescent="0.25">
      <c r="A860" s="8" t="str">
        <f t="shared" si="27"/>
        <v>IIEE-SJ - 213008</v>
      </c>
      <c r="B860" s="10">
        <v>213008</v>
      </c>
      <c r="E860" s="10" t="s">
        <v>621</v>
      </c>
    </row>
    <row r="861" spans="1:5" x14ac:dyDescent="0.25">
      <c r="A861" s="8"/>
    </row>
    <row r="862" spans="1:5" x14ac:dyDescent="0.25">
      <c r="A862" s="8" t="str">
        <f t="shared" ref="A862:A868" si="28">CONCATENATE("IIEE-SJ - ",B862)</f>
        <v>IIEE-SJ - 214</v>
      </c>
      <c r="B862" s="10">
        <v>214</v>
      </c>
      <c r="E862" s="10" t="s">
        <v>886</v>
      </c>
    </row>
    <row r="863" spans="1:5" x14ac:dyDescent="0.25">
      <c r="A863" s="8" t="str">
        <f t="shared" si="28"/>
        <v>IIEE-SJ - 214001</v>
      </c>
      <c r="B863" s="10">
        <v>214001</v>
      </c>
      <c r="E863" s="10" t="s">
        <v>622</v>
      </c>
    </row>
    <row r="864" spans="1:5" x14ac:dyDescent="0.25">
      <c r="A864" s="8" t="str">
        <f t="shared" si="28"/>
        <v>IIEE-SJ - 214002</v>
      </c>
      <c r="B864" s="10">
        <v>214002</v>
      </c>
      <c r="E864" s="10" t="s">
        <v>623</v>
      </c>
    </row>
    <row r="865" spans="1:5" x14ac:dyDescent="0.25">
      <c r="A865" s="8" t="str">
        <f t="shared" si="28"/>
        <v>IIEE-SJ - 214003</v>
      </c>
      <c r="B865" s="10">
        <v>214003</v>
      </c>
      <c r="E865" s="10" t="s">
        <v>624</v>
      </c>
    </row>
    <row r="866" spans="1:5" x14ac:dyDescent="0.25">
      <c r="A866" s="8" t="str">
        <f t="shared" si="28"/>
        <v>IIEE-SJ - 214004</v>
      </c>
      <c r="B866" s="10">
        <v>214004</v>
      </c>
      <c r="E866" s="10" t="s">
        <v>625</v>
      </c>
    </row>
    <row r="867" spans="1:5" x14ac:dyDescent="0.25">
      <c r="A867" s="8" t="str">
        <f t="shared" si="28"/>
        <v>IIEE-SJ - 214005</v>
      </c>
      <c r="B867" s="10">
        <v>214005</v>
      </c>
      <c r="E867" s="10" t="s">
        <v>626</v>
      </c>
    </row>
    <row r="868" spans="1:5" x14ac:dyDescent="0.25">
      <c r="A868" s="8" t="str">
        <f t="shared" si="28"/>
        <v>IIEE-SJ - 214006</v>
      </c>
      <c r="B868" s="10">
        <v>214006</v>
      </c>
      <c r="E868" s="10" t="s">
        <v>627</v>
      </c>
    </row>
    <row r="869" spans="1:5" x14ac:dyDescent="0.25">
      <c r="A869" s="8"/>
    </row>
    <row r="870" spans="1:5" x14ac:dyDescent="0.25">
      <c r="A870" s="8" t="str">
        <f t="shared" ref="A870:A876" si="29">CONCATENATE("IIEE-SJ - ",B870)</f>
        <v>IIEE-SJ - 215</v>
      </c>
      <c r="B870" s="10">
        <v>215</v>
      </c>
      <c r="E870" s="10" t="s">
        <v>887</v>
      </c>
    </row>
    <row r="871" spans="1:5" x14ac:dyDescent="0.25">
      <c r="A871" s="8" t="str">
        <f t="shared" si="29"/>
        <v>IIEE-SJ - 215001</v>
      </c>
      <c r="B871" s="10">
        <v>215001</v>
      </c>
      <c r="E871" s="10" t="s">
        <v>628</v>
      </c>
    </row>
    <row r="872" spans="1:5" x14ac:dyDescent="0.25">
      <c r="A872" s="8" t="str">
        <f t="shared" si="29"/>
        <v>IIEE-SJ - 215002</v>
      </c>
      <c r="B872" s="10">
        <v>215002</v>
      </c>
      <c r="E872" s="10" t="s">
        <v>629</v>
      </c>
    </row>
    <row r="873" spans="1:5" x14ac:dyDescent="0.25">
      <c r="A873" s="8" t="str">
        <f t="shared" si="29"/>
        <v>IIEE-SJ - 215003</v>
      </c>
      <c r="B873" s="10">
        <v>215003</v>
      </c>
      <c r="E873" s="10" t="s">
        <v>630</v>
      </c>
    </row>
    <row r="874" spans="1:5" x14ac:dyDescent="0.25">
      <c r="A874" s="8" t="str">
        <f t="shared" si="29"/>
        <v>IIEE-SJ - 215004</v>
      </c>
      <c r="B874" s="10">
        <v>215004</v>
      </c>
      <c r="E874" s="10" t="s">
        <v>631</v>
      </c>
    </row>
    <row r="875" spans="1:5" x14ac:dyDescent="0.25">
      <c r="A875" s="8" t="str">
        <f t="shared" si="29"/>
        <v>IIEE-SJ - 215005</v>
      </c>
      <c r="B875" s="10">
        <v>215005</v>
      </c>
      <c r="E875" s="10" t="s">
        <v>632</v>
      </c>
    </row>
    <row r="876" spans="1:5" x14ac:dyDescent="0.25">
      <c r="A876" s="8" t="str">
        <f t="shared" si="29"/>
        <v>IIEE-SJ - 215006</v>
      </c>
      <c r="B876" s="10">
        <v>215006</v>
      </c>
      <c r="E876" s="10" t="s">
        <v>633</v>
      </c>
    </row>
    <row r="877" spans="1:5" x14ac:dyDescent="0.25">
      <c r="A877" s="8"/>
    </row>
    <row r="878" spans="1:5" x14ac:dyDescent="0.25">
      <c r="A878" s="8" t="str">
        <f t="shared" ref="A878:A883" si="30">CONCATENATE("IIEE-SJ - ",B878)</f>
        <v>IIEE-SJ - 216</v>
      </c>
      <c r="B878" s="10">
        <v>216</v>
      </c>
      <c r="E878" s="10" t="s">
        <v>888</v>
      </c>
    </row>
    <row r="879" spans="1:5" x14ac:dyDescent="0.25">
      <c r="A879" s="8" t="str">
        <f t="shared" si="30"/>
        <v>IIEE-SJ - 216001</v>
      </c>
      <c r="B879" s="10">
        <v>216001</v>
      </c>
      <c r="E879" s="10" t="s">
        <v>634</v>
      </c>
    </row>
    <row r="880" spans="1:5" x14ac:dyDescent="0.25">
      <c r="A880" s="8" t="str">
        <f t="shared" si="30"/>
        <v>IIEE-SJ - 216002</v>
      </c>
      <c r="B880" s="10">
        <v>216002</v>
      </c>
      <c r="E880" s="10" t="s">
        <v>635</v>
      </c>
    </row>
    <row r="881" spans="1:5" x14ac:dyDescent="0.25">
      <c r="A881" s="8" t="str">
        <f t="shared" si="30"/>
        <v>IIEE-SJ - 216003</v>
      </c>
      <c r="B881" s="10">
        <v>216003</v>
      </c>
      <c r="E881" s="10" t="s">
        <v>636</v>
      </c>
    </row>
    <row r="882" spans="1:5" x14ac:dyDescent="0.25">
      <c r="A882" s="8" t="str">
        <f t="shared" si="30"/>
        <v>IIEE-SJ - 216004</v>
      </c>
      <c r="B882" s="10">
        <v>216004</v>
      </c>
      <c r="E882" s="10" t="s">
        <v>637</v>
      </c>
    </row>
    <row r="883" spans="1:5" x14ac:dyDescent="0.25">
      <c r="A883" s="8" t="str">
        <f t="shared" si="30"/>
        <v>IIEE-SJ - 216005</v>
      </c>
      <c r="B883" s="10">
        <v>216005</v>
      </c>
      <c r="E883" s="10" t="s">
        <v>638</v>
      </c>
    </row>
    <row r="884" spans="1:5" x14ac:dyDescent="0.25">
      <c r="A884" s="8"/>
    </row>
    <row r="885" spans="1:5" x14ac:dyDescent="0.25">
      <c r="A885" s="8" t="str">
        <f>CONCATENATE("IIEE-SJ - ",B885)</f>
        <v>IIEE-SJ - 217</v>
      </c>
      <c r="B885" s="10">
        <v>217</v>
      </c>
      <c r="E885" s="10" t="s">
        <v>889</v>
      </c>
    </row>
    <row r="886" spans="1:5" x14ac:dyDescent="0.25">
      <c r="A886" s="8" t="str">
        <f>CONCATENATE("IIEE-SJ - ",B886)</f>
        <v>IIEE-SJ - 217001</v>
      </c>
      <c r="B886" s="10">
        <v>217001</v>
      </c>
      <c r="E886" s="10" t="s">
        <v>639</v>
      </c>
    </row>
    <row r="887" spans="1:5" x14ac:dyDescent="0.25">
      <c r="A887" s="8" t="str">
        <f>CONCATENATE("IIEE-SJ - ",B887)</f>
        <v>IIEE-SJ - 217002</v>
      </c>
      <c r="B887" s="10">
        <v>217002</v>
      </c>
      <c r="E887" s="10" t="s">
        <v>640</v>
      </c>
    </row>
    <row r="888" spans="1:5" x14ac:dyDescent="0.25">
      <c r="A888" s="8"/>
    </row>
    <row r="889" spans="1:5" x14ac:dyDescent="0.25">
      <c r="A889" s="8" t="str">
        <f>CONCATENATE("IIEE-SJ - ",B889)</f>
        <v>IIEE-SJ - 218</v>
      </c>
      <c r="B889" s="10">
        <v>218</v>
      </c>
      <c r="E889" s="10" t="s">
        <v>837</v>
      </c>
    </row>
    <row r="890" spans="1:5" x14ac:dyDescent="0.25">
      <c r="A890" s="8" t="str">
        <f>CONCATENATE("IIEE-SJ - ",B890)</f>
        <v>IIEE-SJ - 218001</v>
      </c>
      <c r="B890" s="10">
        <v>218001</v>
      </c>
      <c r="E890" s="10" t="s">
        <v>641</v>
      </c>
    </row>
    <row r="891" spans="1:5" x14ac:dyDescent="0.25">
      <c r="A891" s="8" t="str">
        <f>CONCATENATE("IIEE-SJ - ",B891)</f>
        <v>IIEE-SJ - 218002</v>
      </c>
      <c r="B891" s="10">
        <v>218002</v>
      </c>
      <c r="E891" s="10" t="s">
        <v>642</v>
      </c>
    </row>
    <row r="892" spans="1:5" x14ac:dyDescent="0.25">
      <c r="A892" s="8" t="str">
        <f>CONCATENATE("IIEE-SJ - ",B892)</f>
        <v>IIEE-SJ - 218003</v>
      </c>
      <c r="B892" s="10">
        <v>218003</v>
      </c>
      <c r="E892" s="10" t="s">
        <v>643</v>
      </c>
    </row>
    <row r="893" spans="1:5" x14ac:dyDescent="0.25">
      <c r="A893" s="8"/>
    </row>
    <row r="894" spans="1:5" x14ac:dyDescent="0.25">
      <c r="A894" s="8" t="str">
        <f t="shared" ref="A894:A899" si="31">CONCATENATE("IIEE-SJ - ",B894)</f>
        <v>IIEE-SJ - 219</v>
      </c>
      <c r="B894" s="10">
        <v>219</v>
      </c>
      <c r="E894" s="10" t="s">
        <v>890</v>
      </c>
    </row>
    <row r="895" spans="1:5" x14ac:dyDescent="0.25">
      <c r="A895" s="8" t="str">
        <f t="shared" si="31"/>
        <v>IIEE-SJ - 219001</v>
      </c>
      <c r="B895" s="10">
        <v>219001</v>
      </c>
      <c r="E895" s="10" t="s">
        <v>891</v>
      </c>
    </row>
    <row r="896" spans="1:5" x14ac:dyDescent="0.25">
      <c r="A896" s="8" t="str">
        <f t="shared" si="31"/>
        <v>IIEE-SJ - 219002</v>
      </c>
      <c r="B896" s="10">
        <v>219002</v>
      </c>
      <c r="E896" s="10" t="s">
        <v>892</v>
      </c>
    </row>
    <row r="897" spans="1:5" x14ac:dyDescent="0.25">
      <c r="A897" s="8" t="str">
        <f t="shared" si="31"/>
        <v>IIEE-SJ - 219003</v>
      </c>
      <c r="B897" s="10">
        <v>219003</v>
      </c>
      <c r="E897" s="10" t="s">
        <v>893</v>
      </c>
    </row>
    <row r="898" spans="1:5" x14ac:dyDescent="0.25">
      <c r="A898" s="8" t="str">
        <f t="shared" si="31"/>
        <v>IIEE-SJ - 219004</v>
      </c>
      <c r="B898" s="10">
        <v>219004</v>
      </c>
      <c r="E898" s="10" t="s">
        <v>894</v>
      </c>
    </row>
    <row r="899" spans="1:5" x14ac:dyDescent="0.25">
      <c r="A899" s="8" t="str">
        <f t="shared" si="31"/>
        <v>IIEE-SJ - 219005</v>
      </c>
      <c r="B899" s="10">
        <v>219005</v>
      </c>
      <c r="E899" s="10" t="s">
        <v>895</v>
      </c>
    </row>
    <row r="900" spans="1:5" x14ac:dyDescent="0.25">
      <c r="A900" s="8"/>
    </row>
    <row r="901" spans="1:5" x14ac:dyDescent="0.25">
      <c r="A901" s="8" t="str">
        <f t="shared" ref="A901:A907" si="32">CONCATENATE("IIEE-SJ - ",B901)</f>
        <v>IIEE-SJ - 220</v>
      </c>
      <c r="B901" s="10">
        <v>220</v>
      </c>
      <c r="E901" s="10" t="s">
        <v>896</v>
      </c>
    </row>
    <row r="902" spans="1:5" x14ac:dyDescent="0.25">
      <c r="A902" s="8" t="str">
        <f t="shared" si="32"/>
        <v>IIEE-SJ - 220001</v>
      </c>
      <c r="B902" s="10">
        <v>220001</v>
      </c>
      <c r="E902" s="10" t="s">
        <v>644</v>
      </c>
    </row>
    <row r="903" spans="1:5" x14ac:dyDescent="0.25">
      <c r="A903" s="8" t="str">
        <f t="shared" si="32"/>
        <v>IIEE-SJ - 220002</v>
      </c>
      <c r="B903" s="10">
        <v>220002</v>
      </c>
      <c r="E903" s="10" t="s">
        <v>645</v>
      </c>
    </row>
    <row r="904" spans="1:5" x14ac:dyDescent="0.25">
      <c r="A904" s="8" t="str">
        <f t="shared" si="32"/>
        <v>IIEE-SJ - 220003</v>
      </c>
      <c r="B904" s="10">
        <v>220003</v>
      </c>
      <c r="E904" s="10" t="s">
        <v>646</v>
      </c>
    </row>
    <row r="905" spans="1:5" x14ac:dyDescent="0.25">
      <c r="A905" s="8" t="str">
        <f t="shared" si="32"/>
        <v>IIEE-SJ - 220004</v>
      </c>
      <c r="B905" s="10">
        <v>220004</v>
      </c>
      <c r="E905" s="10" t="s">
        <v>647</v>
      </c>
    </row>
    <row r="906" spans="1:5" x14ac:dyDescent="0.25">
      <c r="A906" s="8" t="str">
        <f t="shared" si="32"/>
        <v>IIEE-SJ - 220005</v>
      </c>
      <c r="B906" s="10">
        <v>220005</v>
      </c>
      <c r="E906" s="10" t="s">
        <v>648</v>
      </c>
    </row>
    <row r="907" spans="1:5" x14ac:dyDescent="0.25">
      <c r="A907" s="8" t="str">
        <f t="shared" si="32"/>
        <v>IIEE-SJ - 220006</v>
      </c>
      <c r="B907" s="10">
        <v>220006</v>
      </c>
      <c r="E907" s="10" t="s">
        <v>649</v>
      </c>
    </row>
    <row r="908" spans="1:5" x14ac:dyDescent="0.25">
      <c r="A908" s="8"/>
    </row>
    <row r="909" spans="1:5" x14ac:dyDescent="0.25">
      <c r="A909" s="8" t="str">
        <f t="shared" ref="A909:A915" si="33">CONCATENATE("IIEE-SJ - ",B909)</f>
        <v>IIEE-SJ - 221</v>
      </c>
      <c r="B909" s="10">
        <v>221</v>
      </c>
      <c r="E909" s="10" t="s">
        <v>897</v>
      </c>
    </row>
    <row r="910" spans="1:5" x14ac:dyDescent="0.25">
      <c r="A910" s="8" t="str">
        <f t="shared" si="33"/>
        <v>IIEE-SJ - 221001</v>
      </c>
      <c r="B910" s="10">
        <v>221001</v>
      </c>
      <c r="E910" s="10" t="s">
        <v>650</v>
      </c>
    </row>
    <row r="911" spans="1:5" x14ac:dyDescent="0.25">
      <c r="A911" s="8" t="str">
        <f t="shared" si="33"/>
        <v>IIEE-SJ - 221002</v>
      </c>
      <c r="B911" s="10">
        <v>221002</v>
      </c>
      <c r="E911" s="10" t="s">
        <v>651</v>
      </c>
    </row>
    <row r="912" spans="1:5" x14ac:dyDescent="0.25">
      <c r="A912" s="8" t="str">
        <f t="shared" si="33"/>
        <v>IIEE-SJ - 221003</v>
      </c>
      <c r="B912" s="10">
        <v>221003</v>
      </c>
      <c r="E912" s="10" t="s">
        <v>652</v>
      </c>
    </row>
    <row r="913" spans="1:5" x14ac:dyDescent="0.25">
      <c r="A913" s="8" t="str">
        <f t="shared" si="33"/>
        <v>IIEE-SJ - 221004</v>
      </c>
      <c r="B913" s="10">
        <v>221004</v>
      </c>
      <c r="E913" s="10" t="s">
        <v>653</v>
      </c>
    </row>
    <row r="914" spans="1:5" x14ac:dyDescent="0.25">
      <c r="A914" s="8" t="str">
        <f t="shared" si="33"/>
        <v>IIEE-SJ - 221005</v>
      </c>
      <c r="B914" s="10">
        <v>221005</v>
      </c>
      <c r="E914" s="10" t="s">
        <v>654</v>
      </c>
    </row>
    <row r="915" spans="1:5" x14ac:dyDescent="0.25">
      <c r="A915" s="8" t="str">
        <f t="shared" si="33"/>
        <v>IIEE-SJ - 221006</v>
      </c>
      <c r="B915" s="10">
        <v>221006</v>
      </c>
      <c r="E915" s="10" t="s">
        <v>655</v>
      </c>
    </row>
    <row r="916" spans="1:5" x14ac:dyDescent="0.25">
      <c r="A916" s="8"/>
    </row>
    <row r="917" spans="1:5" x14ac:dyDescent="0.25">
      <c r="A917" s="8" t="str">
        <f t="shared" ref="A917:A933" si="34">CONCATENATE("IIEE-SJ - ",B917)</f>
        <v>IIEE-SJ - 222</v>
      </c>
      <c r="B917" s="10">
        <v>222</v>
      </c>
      <c r="E917" s="10" t="s">
        <v>898</v>
      </c>
    </row>
    <row r="918" spans="1:5" x14ac:dyDescent="0.25">
      <c r="A918" s="8" t="str">
        <f t="shared" si="34"/>
        <v>IIEE-SJ - 222001</v>
      </c>
      <c r="B918" s="10">
        <v>222001</v>
      </c>
      <c r="E918" s="10" t="s">
        <v>656</v>
      </c>
    </row>
    <row r="919" spans="1:5" x14ac:dyDescent="0.25">
      <c r="A919" s="8" t="str">
        <f t="shared" si="34"/>
        <v>IIEE-SJ - 222002</v>
      </c>
      <c r="B919" s="10">
        <v>222002</v>
      </c>
      <c r="E919" s="10" t="s">
        <v>657</v>
      </c>
    </row>
    <row r="920" spans="1:5" x14ac:dyDescent="0.25">
      <c r="A920" s="8" t="str">
        <f t="shared" si="34"/>
        <v>IIEE-SJ - 222003</v>
      </c>
      <c r="B920" s="10">
        <v>222003</v>
      </c>
      <c r="E920" s="10" t="s">
        <v>658</v>
      </c>
    </row>
    <row r="921" spans="1:5" x14ac:dyDescent="0.25">
      <c r="A921" s="8" t="str">
        <f t="shared" si="34"/>
        <v>IIEE-SJ - 222004</v>
      </c>
      <c r="B921" s="10">
        <v>222004</v>
      </c>
      <c r="E921" s="10" t="s">
        <v>659</v>
      </c>
    </row>
    <row r="922" spans="1:5" x14ac:dyDescent="0.25">
      <c r="A922" s="8" t="str">
        <f t="shared" si="34"/>
        <v>IIEE-SJ - 222005</v>
      </c>
      <c r="B922" s="10">
        <v>222005</v>
      </c>
      <c r="E922" s="10" t="s">
        <v>660</v>
      </c>
    </row>
    <row r="923" spans="1:5" x14ac:dyDescent="0.25">
      <c r="A923" s="8" t="str">
        <f t="shared" si="34"/>
        <v>IIEE-SJ - 222006</v>
      </c>
      <c r="B923" s="10">
        <v>222006</v>
      </c>
      <c r="E923" s="10" t="s">
        <v>661</v>
      </c>
    </row>
    <row r="924" spans="1:5" x14ac:dyDescent="0.25">
      <c r="A924" s="8" t="str">
        <f t="shared" si="34"/>
        <v>IIEE-SJ - 222007</v>
      </c>
      <c r="B924" s="10">
        <v>222007</v>
      </c>
      <c r="E924" s="10" t="s">
        <v>662</v>
      </c>
    </row>
    <row r="925" spans="1:5" x14ac:dyDescent="0.25">
      <c r="A925" s="8" t="str">
        <f t="shared" si="34"/>
        <v>IIEE-SJ - 222008</v>
      </c>
      <c r="B925" s="10">
        <v>222008</v>
      </c>
      <c r="E925" s="10" t="s">
        <v>663</v>
      </c>
    </row>
    <row r="926" spans="1:5" x14ac:dyDescent="0.25">
      <c r="A926" s="8" t="str">
        <f t="shared" si="34"/>
        <v>IIEE-SJ - 222009</v>
      </c>
      <c r="B926" s="10">
        <v>222009</v>
      </c>
      <c r="E926" s="10" t="s">
        <v>664</v>
      </c>
    </row>
    <row r="927" spans="1:5" x14ac:dyDescent="0.25">
      <c r="A927" s="8" t="str">
        <f t="shared" si="34"/>
        <v>IIEE-SJ - 222010</v>
      </c>
      <c r="B927" s="10">
        <v>222010</v>
      </c>
      <c r="E927" s="10" t="s">
        <v>665</v>
      </c>
    </row>
    <row r="928" spans="1:5" x14ac:dyDescent="0.25">
      <c r="A928" s="8" t="str">
        <f t="shared" si="34"/>
        <v>IIEE-SJ - 222011</v>
      </c>
      <c r="B928" s="10">
        <v>222011</v>
      </c>
      <c r="E928" s="10" t="s">
        <v>666</v>
      </c>
    </row>
    <row r="929" spans="1:5" x14ac:dyDescent="0.25">
      <c r="A929" s="8" t="str">
        <f t="shared" si="34"/>
        <v>IIEE-SJ - 222012</v>
      </c>
      <c r="B929" s="10">
        <v>222012</v>
      </c>
      <c r="E929" s="10" t="s">
        <v>667</v>
      </c>
    </row>
    <row r="930" spans="1:5" x14ac:dyDescent="0.25">
      <c r="A930" s="8" t="str">
        <f t="shared" si="34"/>
        <v>IIEE-SJ - 222013</v>
      </c>
      <c r="B930" s="10">
        <v>222013</v>
      </c>
      <c r="E930" s="10" t="s">
        <v>668</v>
      </c>
    </row>
    <row r="931" spans="1:5" x14ac:dyDescent="0.25">
      <c r="A931" s="8" t="str">
        <f t="shared" si="34"/>
        <v>IIEE-SJ - 222014</v>
      </c>
      <c r="B931" s="10">
        <v>222014</v>
      </c>
      <c r="E931" s="10" t="s">
        <v>669</v>
      </c>
    </row>
    <row r="932" spans="1:5" x14ac:dyDescent="0.25">
      <c r="A932" s="8" t="str">
        <f t="shared" si="34"/>
        <v>IIEE-SJ - 222015</v>
      </c>
      <c r="B932" s="10">
        <v>222015</v>
      </c>
      <c r="E932" s="10" t="s">
        <v>670</v>
      </c>
    </row>
    <row r="933" spans="1:5" x14ac:dyDescent="0.25">
      <c r="A933" s="8" t="str">
        <f t="shared" si="34"/>
        <v>IIEE-SJ - 222016</v>
      </c>
      <c r="B933" s="10">
        <v>222016</v>
      </c>
      <c r="E933" s="10" t="s">
        <v>671</v>
      </c>
    </row>
    <row r="934" spans="1:5" x14ac:dyDescent="0.25">
      <c r="A934" s="8"/>
    </row>
    <row r="935" spans="1:5" x14ac:dyDescent="0.25">
      <c r="A935" s="8" t="str">
        <f t="shared" ref="A935:A945" si="35">CONCATENATE("IIEE-SJ - ",B935)</f>
        <v>IIEE-SJ - 223</v>
      </c>
      <c r="B935" s="10">
        <v>223</v>
      </c>
      <c r="E935" s="10" t="s">
        <v>899</v>
      </c>
    </row>
    <row r="936" spans="1:5" x14ac:dyDescent="0.25">
      <c r="A936" s="8" t="str">
        <f t="shared" si="35"/>
        <v>IIEE-SJ - 223001</v>
      </c>
      <c r="B936" s="10">
        <v>223001</v>
      </c>
      <c r="E936" s="10" t="s">
        <v>672</v>
      </c>
    </row>
    <row r="937" spans="1:5" x14ac:dyDescent="0.25">
      <c r="A937" s="8" t="str">
        <f t="shared" si="35"/>
        <v>IIEE-SJ - 223002</v>
      </c>
      <c r="B937" s="10">
        <v>223002</v>
      </c>
      <c r="E937" s="10" t="s">
        <v>673</v>
      </c>
    </row>
    <row r="938" spans="1:5" x14ac:dyDescent="0.25">
      <c r="A938" s="8" t="str">
        <f t="shared" si="35"/>
        <v>IIEE-SJ - 223003</v>
      </c>
      <c r="B938" s="10">
        <v>223003</v>
      </c>
      <c r="E938" s="10" t="s">
        <v>674</v>
      </c>
    </row>
    <row r="939" spans="1:5" x14ac:dyDescent="0.25">
      <c r="A939" s="8" t="str">
        <f t="shared" si="35"/>
        <v>IIEE-SJ - 223004</v>
      </c>
      <c r="B939" s="10">
        <v>223004</v>
      </c>
      <c r="E939" s="10" t="s">
        <v>675</v>
      </c>
    </row>
    <row r="940" spans="1:5" x14ac:dyDescent="0.25">
      <c r="A940" s="8" t="str">
        <f t="shared" si="35"/>
        <v>IIEE-SJ - 223005</v>
      </c>
      <c r="B940" s="10">
        <v>223005</v>
      </c>
      <c r="E940" s="10" t="s">
        <v>676</v>
      </c>
    </row>
    <row r="941" spans="1:5" x14ac:dyDescent="0.25">
      <c r="A941" s="8" t="str">
        <f t="shared" si="35"/>
        <v>IIEE-SJ - 223006</v>
      </c>
      <c r="B941" s="10">
        <v>223006</v>
      </c>
      <c r="E941" s="10" t="s">
        <v>677</v>
      </c>
    </row>
    <row r="942" spans="1:5" x14ac:dyDescent="0.25">
      <c r="A942" s="8" t="str">
        <f t="shared" si="35"/>
        <v>IIEE-SJ - 223007</v>
      </c>
      <c r="B942" s="10">
        <v>223007</v>
      </c>
      <c r="E942" s="10" t="s">
        <v>678</v>
      </c>
    </row>
    <row r="943" spans="1:5" x14ac:dyDescent="0.25">
      <c r="A943" s="8" t="str">
        <f t="shared" si="35"/>
        <v>IIEE-SJ - 223008</v>
      </c>
      <c r="B943" s="10">
        <v>223008</v>
      </c>
      <c r="E943" s="10" t="s">
        <v>679</v>
      </c>
    </row>
    <row r="944" spans="1:5" x14ac:dyDescent="0.25">
      <c r="A944" s="8" t="str">
        <f t="shared" si="35"/>
        <v>IIEE-SJ - 223009</v>
      </c>
      <c r="B944" s="10">
        <v>223009</v>
      </c>
      <c r="E944" s="10" t="s">
        <v>680</v>
      </c>
    </row>
    <row r="945" spans="1:5" x14ac:dyDescent="0.25">
      <c r="A945" s="8" t="str">
        <f t="shared" si="35"/>
        <v>IIEE-SJ - 223010</v>
      </c>
      <c r="B945" s="10">
        <v>223010</v>
      </c>
      <c r="E945" s="10" t="s">
        <v>681</v>
      </c>
    </row>
    <row r="946" spans="1:5" x14ac:dyDescent="0.25">
      <c r="A946" s="8"/>
    </row>
    <row r="947" spans="1:5" x14ac:dyDescent="0.25">
      <c r="A947" s="8" t="str">
        <f>CONCATENATE("IIEE-SJ - ",B947)</f>
        <v>IIEE-SJ - 224</v>
      </c>
      <c r="B947" s="10">
        <v>224</v>
      </c>
      <c r="E947" s="10" t="s">
        <v>302</v>
      </c>
    </row>
    <row r="948" spans="1:5" x14ac:dyDescent="0.25">
      <c r="A948" s="8" t="str">
        <f>CONCATENATE("IIEE-SJ - ",B948)</f>
        <v>IIEE-SJ - 224001</v>
      </c>
      <c r="B948" s="10">
        <v>224001</v>
      </c>
      <c r="E948" s="10" t="s">
        <v>686</v>
      </c>
    </row>
    <row r="949" spans="1:5" x14ac:dyDescent="0.25">
      <c r="A949" s="8" t="str">
        <f>CONCATENATE("IIEE-SJ - ",B949)</f>
        <v>IIEE-SJ - 224002</v>
      </c>
      <c r="B949" s="10">
        <v>224002</v>
      </c>
      <c r="E949" s="10" t="s">
        <v>687</v>
      </c>
    </row>
    <row r="950" spans="1:5" x14ac:dyDescent="0.25">
      <c r="A950" s="8"/>
    </row>
    <row r="951" spans="1:5" x14ac:dyDescent="0.25">
      <c r="A951" s="8" t="str">
        <f>CONCATENATE("IIEE-SJ - ",B951)</f>
        <v>IIEE-SJ - 225</v>
      </c>
      <c r="B951" s="10">
        <v>225</v>
      </c>
      <c r="E951" s="10" t="s">
        <v>900</v>
      </c>
    </row>
    <row r="952" spans="1:5" x14ac:dyDescent="0.25">
      <c r="A952" s="8" t="str">
        <f>CONCATENATE("IIEE-SJ - ",B952)</f>
        <v>IIEE-SJ - 225001</v>
      </c>
      <c r="B952" s="10">
        <v>225001</v>
      </c>
      <c r="E952" s="10" t="s">
        <v>708</v>
      </c>
    </row>
    <row r="953" spans="1:5" x14ac:dyDescent="0.25">
      <c r="A953" s="8" t="str">
        <f>CONCATENATE("IIEE-SJ - ",B953)</f>
        <v>IIEE-SJ - 225002</v>
      </c>
      <c r="B953" s="10">
        <v>225002</v>
      </c>
      <c r="E953" s="10" t="s">
        <v>709</v>
      </c>
    </row>
    <row r="954" spans="1:5" x14ac:dyDescent="0.25">
      <c r="A954" s="8"/>
    </row>
    <row r="955" spans="1:5" x14ac:dyDescent="0.25">
      <c r="A955" s="8" t="str">
        <f t="shared" ref="A955:A960" si="36">CONCATENATE("IIEE-SJ - ",B955)</f>
        <v>IIEE-SJ - 226</v>
      </c>
      <c r="B955" s="10">
        <v>226</v>
      </c>
      <c r="E955" s="10" t="s">
        <v>901</v>
      </c>
    </row>
    <row r="956" spans="1:5" x14ac:dyDescent="0.25">
      <c r="A956" s="8" t="str">
        <f t="shared" si="36"/>
        <v>IIEE-SJ - 226001</v>
      </c>
      <c r="B956" s="10">
        <v>226001</v>
      </c>
      <c r="E956" s="10" t="s">
        <v>694</v>
      </c>
    </row>
    <row r="957" spans="1:5" x14ac:dyDescent="0.25">
      <c r="A957" s="8" t="str">
        <f t="shared" si="36"/>
        <v>IIEE-SJ - 226002</v>
      </c>
      <c r="B957" s="10">
        <v>226002</v>
      </c>
      <c r="E957" s="10" t="s">
        <v>695</v>
      </c>
    </row>
    <row r="958" spans="1:5" x14ac:dyDescent="0.25">
      <c r="A958" s="8" t="str">
        <f t="shared" si="36"/>
        <v>IIEE-SJ - 226003</v>
      </c>
      <c r="B958" s="10">
        <v>226003</v>
      </c>
      <c r="E958" s="10" t="s">
        <v>696</v>
      </c>
    </row>
    <row r="959" spans="1:5" x14ac:dyDescent="0.25">
      <c r="A959" s="8" t="str">
        <f t="shared" si="36"/>
        <v>IIEE-SJ - 226004</v>
      </c>
      <c r="B959" s="10">
        <v>226004</v>
      </c>
      <c r="E959" s="10" t="s">
        <v>710</v>
      </c>
    </row>
    <row r="960" spans="1:5" x14ac:dyDescent="0.25">
      <c r="A960" s="8" t="str">
        <f t="shared" si="36"/>
        <v>IIEE-SJ - 226005</v>
      </c>
      <c r="B960" s="10">
        <v>226005</v>
      </c>
      <c r="E960" s="10" t="s">
        <v>711</v>
      </c>
    </row>
    <row r="961" spans="1:5" x14ac:dyDescent="0.25">
      <c r="A961" s="8"/>
    </row>
    <row r="962" spans="1:5" x14ac:dyDescent="0.25">
      <c r="A962" s="8" t="str">
        <f t="shared" ref="A962:A969" si="37">CONCATENATE("IIEE-SJ - ",B962)</f>
        <v>IIEE-SJ - 227</v>
      </c>
      <c r="B962" s="10">
        <v>227</v>
      </c>
      <c r="E962" s="10" t="s">
        <v>902</v>
      </c>
    </row>
    <row r="963" spans="1:5" x14ac:dyDescent="0.25">
      <c r="A963" s="8" t="str">
        <f t="shared" si="37"/>
        <v>IIEE-SJ - 227001</v>
      </c>
      <c r="B963" s="10">
        <v>227001</v>
      </c>
      <c r="E963" s="10" t="s">
        <v>702</v>
      </c>
    </row>
    <row r="964" spans="1:5" x14ac:dyDescent="0.25">
      <c r="A964" s="8" t="str">
        <f t="shared" si="37"/>
        <v>IIEE-SJ - 227002</v>
      </c>
      <c r="B964" s="10">
        <v>227002</v>
      </c>
      <c r="E964" s="10" t="s">
        <v>703</v>
      </c>
    </row>
    <row r="965" spans="1:5" x14ac:dyDescent="0.25">
      <c r="A965" s="8" t="str">
        <f t="shared" si="37"/>
        <v>IIEE-SJ - 227003</v>
      </c>
      <c r="B965" s="10">
        <v>227003</v>
      </c>
      <c r="E965" s="10" t="s">
        <v>704</v>
      </c>
    </row>
    <row r="966" spans="1:5" x14ac:dyDescent="0.25">
      <c r="A966" s="8" t="str">
        <f t="shared" si="37"/>
        <v>IIEE-SJ - 227004</v>
      </c>
      <c r="B966" s="10">
        <v>227004</v>
      </c>
      <c r="E966" s="10" t="s">
        <v>705</v>
      </c>
    </row>
    <row r="967" spans="1:5" x14ac:dyDescent="0.25">
      <c r="A967" s="8" t="str">
        <f t="shared" si="37"/>
        <v>IIEE-SJ - 227005</v>
      </c>
      <c r="B967" s="10">
        <v>227005</v>
      </c>
      <c r="E967" s="10" t="s">
        <v>706</v>
      </c>
    </row>
    <row r="968" spans="1:5" x14ac:dyDescent="0.25">
      <c r="A968" s="8" t="str">
        <f t="shared" si="37"/>
        <v>IIEE-SJ - 227006</v>
      </c>
      <c r="B968" s="10">
        <v>227006</v>
      </c>
      <c r="E968" s="10" t="s">
        <v>707</v>
      </c>
    </row>
    <row r="969" spans="1:5" x14ac:dyDescent="0.25">
      <c r="A969" s="8" t="str">
        <f t="shared" si="37"/>
        <v>IIEE-SJ - 227007</v>
      </c>
      <c r="B969" s="10">
        <v>227007</v>
      </c>
      <c r="E969" s="10" t="s">
        <v>701</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5"/>
  <sheetViews>
    <sheetView workbookViewId="0">
      <selection activeCell="D7" sqref="D7"/>
    </sheetView>
  </sheetViews>
  <sheetFormatPr baseColWidth="10" defaultRowHeight="13.2" x14ac:dyDescent="0.25"/>
  <cols>
    <col min="1" max="1" width="29.88671875" customWidth="1"/>
    <col min="2" max="2" width="18.88671875" customWidth="1"/>
    <col min="5" max="5" width="14.33203125" customWidth="1"/>
    <col min="6" max="6" width="21.44140625" customWidth="1"/>
    <col min="7" max="7" width="13" customWidth="1"/>
    <col min="8" max="8" width="22.5546875" bestFit="1" customWidth="1"/>
    <col min="9" max="9" width="24.33203125" customWidth="1"/>
    <col min="10" max="10" width="18.5546875" customWidth="1"/>
  </cols>
  <sheetData>
    <row r="1" spans="1:8" x14ac:dyDescent="0.25">
      <c r="A1" s="319" t="s">
        <v>7</v>
      </c>
      <c r="B1" s="319" t="s">
        <v>1123</v>
      </c>
    </row>
    <row r="2" spans="1:8" x14ac:dyDescent="0.25">
      <c r="A2" s="319" t="s">
        <v>8</v>
      </c>
      <c r="B2" s="319" t="str">
        <f>+Obra</f>
        <v>LA NAVE - 103 DEPARTAMENTOS - CAPITAL</v>
      </c>
    </row>
    <row r="3" spans="1:8" x14ac:dyDescent="0.25">
      <c r="A3" s="319" t="s">
        <v>12</v>
      </c>
      <c r="B3" s="319" t="str">
        <f>+Ubicación</f>
        <v>CAPITAL</v>
      </c>
    </row>
    <row r="4" spans="1:8" x14ac:dyDescent="0.25">
      <c r="A4" s="319" t="s">
        <v>11</v>
      </c>
      <c r="B4" s="319" t="str">
        <f>+Número_Licitación</f>
        <v>LICITACION PUBLICA IPV N° 01/2023</v>
      </c>
    </row>
    <row r="5" spans="1:8" x14ac:dyDescent="0.25">
      <c r="A5" s="319" t="s">
        <v>32</v>
      </c>
      <c r="B5" s="319" t="str">
        <f>+Número_Expediente</f>
        <v>501-004285-2022</v>
      </c>
    </row>
    <row r="6" spans="1:8" x14ac:dyDescent="0.25">
      <c r="A6" s="319" t="s">
        <v>14</v>
      </c>
      <c r="B6" s="320">
        <f>+Presupuesto_Oficial</f>
        <v>2336511667.999999</v>
      </c>
    </row>
    <row r="7" spans="1:8" x14ac:dyDescent="0.25">
      <c r="A7" s="319" t="s">
        <v>1104</v>
      </c>
      <c r="B7" s="348">
        <f>+Anticipo_Financiero</f>
        <v>0</v>
      </c>
    </row>
    <row r="8" spans="1:8" x14ac:dyDescent="0.25">
      <c r="A8" s="319" t="s">
        <v>1102</v>
      </c>
      <c r="B8" s="350" t="str">
        <f>+Fecha_Apertura</f>
        <v>xxxxxxx</v>
      </c>
    </row>
    <row r="9" spans="1:8" x14ac:dyDescent="0.25">
      <c r="A9" s="319" t="s">
        <v>13</v>
      </c>
      <c r="B9" s="349">
        <f>+Plazo_Obra</f>
        <v>540</v>
      </c>
    </row>
    <row r="10" spans="1:8" x14ac:dyDescent="0.25">
      <c r="A10" s="319" t="s">
        <v>9</v>
      </c>
      <c r="B10" s="319" t="str">
        <f>+Contratista</f>
        <v>xxxxxxxxx</v>
      </c>
    </row>
    <row r="11" spans="1:8" x14ac:dyDescent="0.25">
      <c r="A11" s="319" t="s">
        <v>42</v>
      </c>
      <c r="B11" s="320">
        <f>+H52</f>
        <v>0</v>
      </c>
    </row>
    <row r="14" spans="1:8" s="319" customFormat="1" ht="13.8" x14ac:dyDescent="0.25">
      <c r="A14" s="542" t="s">
        <v>1238</v>
      </c>
      <c r="B14" s="542" t="s">
        <v>1530</v>
      </c>
      <c r="C14" s="542"/>
      <c r="D14" s="542"/>
      <c r="E14" s="542"/>
      <c r="F14" s="542"/>
      <c r="G14" s="542"/>
      <c r="H14" s="543"/>
    </row>
    <row r="16" spans="1:8" x14ac:dyDescent="0.25">
      <c r="B16">
        <f>+Cant_Viv_P1</f>
        <v>5</v>
      </c>
      <c r="C16" t="s">
        <v>1531</v>
      </c>
      <c r="F16" s="323">
        <f>+Precio_P1/Coef_Paso_Vivienda</f>
        <v>0</v>
      </c>
      <c r="G16" s="323"/>
      <c r="H16" s="323">
        <f>+F16*B16</f>
        <v>0</v>
      </c>
    </row>
    <row r="17" spans="1:11" x14ac:dyDescent="0.25">
      <c r="F17" s="323"/>
      <c r="G17" s="323"/>
      <c r="H17" s="323"/>
    </row>
    <row r="18" spans="1:11" x14ac:dyDescent="0.25">
      <c r="B18">
        <f>+Cant_Viv_P2</f>
        <v>30</v>
      </c>
      <c r="C18" t="s">
        <v>1532</v>
      </c>
      <c r="F18" s="323">
        <f>+Precio_P2/Coef_Paso_Vivienda</f>
        <v>0</v>
      </c>
      <c r="G18" s="323"/>
      <c r="H18" s="323">
        <f>+F18*B18</f>
        <v>0</v>
      </c>
    </row>
    <row r="19" spans="1:11" x14ac:dyDescent="0.25">
      <c r="F19" s="323"/>
      <c r="G19" s="323"/>
      <c r="H19" s="323"/>
    </row>
    <row r="20" spans="1:11" x14ac:dyDescent="0.25">
      <c r="B20">
        <f>+Cant_Viv_P3</f>
        <v>5</v>
      </c>
      <c r="C20" t="s">
        <v>1533</v>
      </c>
      <c r="F20" s="323">
        <f>+Precio_P3/Coef_Paso_Vivienda</f>
        <v>0</v>
      </c>
      <c r="G20" s="323"/>
      <c r="H20" s="323">
        <f>+F20*B20</f>
        <v>0</v>
      </c>
    </row>
    <row r="21" spans="1:11" x14ac:dyDescent="0.25">
      <c r="F21" s="323"/>
      <c r="G21" s="323"/>
      <c r="H21" s="323"/>
    </row>
    <row r="22" spans="1:11" x14ac:dyDescent="0.25">
      <c r="B22">
        <f>+Cant_Viv_P4</f>
        <v>4</v>
      </c>
      <c r="C22" t="s">
        <v>1534</v>
      </c>
      <c r="F22" s="323">
        <f>+PRECIO_P4/Coef_Paso_Vivienda</f>
        <v>0</v>
      </c>
      <c r="G22" s="323"/>
      <c r="H22" s="323">
        <f>+F22*B22</f>
        <v>0</v>
      </c>
    </row>
    <row r="23" spans="1:11" x14ac:dyDescent="0.25">
      <c r="F23" s="323"/>
      <c r="G23" s="323"/>
      <c r="H23" s="323"/>
    </row>
    <row r="24" spans="1:11" x14ac:dyDescent="0.25">
      <c r="B24">
        <f>+Cant_Viv_P5</f>
        <v>5</v>
      </c>
      <c r="C24" t="s">
        <v>1535</v>
      </c>
      <c r="F24" s="323">
        <f>+PRECIO_P5/Coef_Paso_Vivienda</f>
        <v>0</v>
      </c>
      <c r="G24" s="323"/>
      <c r="H24" s="323">
        <f>+F24*B24</f>
        <v>0</v>
      </c>
    </row>
    <row r="25" spans="1:11" x14ac:dyDescent="0.25">
      <c r="F25" s="323"/>
      <c r="G25" s="323"/>
      <c r="H25" s="323"/>
    </row>
    <row r="26" spans="1:11" x14ac:dyDescent="0.25">
      <c r="B26">
        <f>+Cant_Viv_P6</f>
        <v>54</v>
      </c>
      <c r="C26" t="s">
        <v>1536</v>
      </c>
      <c r="F26" s="323">
        <f>+PRECIO_P6/Coef_Paso_Vivienda</f>
        <v>0</v>
      </c>
      <c r="G26" s="323"/>
      <c r="H26" s="323">
        <f>+F26*B26</f>
        <v>0</v>
      </c>
    </row>
    <row r="28" spans="1:11" s="319" customFormat="1" ht="13.8" x14ac:dyDescent="0.25">
      <c r="A28" s="542" t="s">
        <v>1537</v>
      </c>
      <c r="B28" s="542" t="s">
        <v>1433</v>
      </c>
      <c r="C28" s="542"/>
      <c r="D28" s="542"/>
      <c r="E28" s="542"/>
      <c r="F28" s="542"/>
      <c r="G28" s="542"/>
      <c r="H28" s="542"/>
      <c r="I28" s="575"/>
      <c r="J28" s="575"/>
    </row>
    <row r="30" spans="1:11" x14ac:dyDescent="0.25">
      <c r="B30">
        <f>EspacioComun</f>
        <v>1</v>
      </c>
      <c r="C30" t="s">
        <v>1538</v>
      </c>
      <c r="F30" s="323">
        <f>+'Espacios Comunes Torre'!F58/Coef_Paso_Vivienda</f>
        <v>0</v>
      </c>
      <c r="G30" s="323"/>
      <c r="H30" s="323">
        <f>+F30*B30</f>
        <v>0</v>
      </c>
      <c r="J30" s="323"/>
      <c r="K30" s="576"/>
    </row>
    <row r="31" spans="1:11" x14ac:dyDescent="0.25">
      <c r="F31" s="323"/>
      <c r="G31" s="323"/>
      <c r="H31" s="323"/>
    </row>
    <row r="32" spans="1:11" x14ac:dyDescent="0.25">
      <c r="B32">
        <f>+EspacioComun_Alas</f>
        <v>1</v>
      </c>
      <c r="C32" t="s">
        <v>1539</v>
      </c>
      <c r="F32" s="323">
        <f>'Espacios Comunes bloque S - O'!F59/Coef_Paso_Vivienda-'Espacios Comunes bloque S - O'!F48</f>
        <v>0</v>
      </c>
      <c r="G32" s="323"/>
      <c r="H32" s="323">
        <f>+F32*B32</f>
        <v>0</v>
      </c>
    </row>
    <row r="34" spans="1:10" ht="13.8" x14ac:dyDescent="0.25">
      <c r="A34" s="542" t="s">
        <v>1542</v>
      </c>
      <c r="B34" s="542" t="s">
        <v>1081</v>
      </c>
      <c r="C34" s="542"/>
      <c r="D34" s="542"/>
      <c r="E34" s="542"/>
      <c r="F34" s="542"/>
      <c r="G34" s="542"/>
      <c r="H34" s="542"/>
    </row>
    <row r="36" spans="1:10" x14ac:dyDescent="0.25">
      <c r="B36">
        <v>1</v>
      </c>
      <c r="C36" s="322" t="s">
        <v>1544</v>
      </c>
      <c r="F36" s="323">
        <f>+'Espacios Comunes bloque S - O'!F48</f>
        <v>0</v>
      </c>
      <c r="G36" s="323"/>
      <c r="H36" s="323">
        <f>+F36*B36</f>
        <v>0</v>
      </c>
    </row>
    <row r="39" spans="1:10" s="319" customFormat="1" ht="13.8" x14ac:dyDescent="0.25">
      <c r="A39" s="542" t="s">
        <v>1543</v>
      </c>
      <c r="B39" s="542"/>
      <c r="C39" s="542"/>
      <c r="D39" s="542"/>
      <c r="E39" s="542"/>
      <c r="F39" s="542"/>
      <c r="G39" s="542"/>
      <c r="H39" s="543">
        <f>SUM(H16:H36)</f>
        <v>0</v>
      </c>
      <c r="I39" s="320"/>
      <c r="J39" s="544"/>
    </row>
    <row r="40" spans="1:10" x14ac:dyDescent="0.25">
      <c r="F40" s="545"/>
    </row>
    <row r="41" spans="1:10" x14ac:dyDescent="0.25">
      <c r="C41" t="s">
        <v>1117</v>
      </c>
      <c r="F41" s="321">
        <f>+Gastos_Generales</f>
        <v>0.1</v>
      </c>
      <c r="H41" s="496">
        <f>F41*H39</f>
        <v>0</v>
      </c>
    </row>
    <row r="42" spans="1:10" x14ac:dyDescent="0.25">
      <c r="C42" t="s">
        <v>1239</v>
      </c>
      <c r="F42" s="545"/>
      <c r="H42" s="544">
        <f>+H41+H39</f>
        <v>0</v>
      </c>
    </row>
    <row r="43" spans="1:10" x14ac:dyDescent="0.25">
      <c r="F43" s="545"/>
    </row>
    <row r="44" spans="1:10" x14ac:dyDescent="0.25">
      <c r="C44" t="s">
        <v>1240</v>
      </c>
      <c r="F44" s="321">
        <f>Beneficio</f>
        <v>0.1</v>
      </c>
      <c r="H44" s="496">
        <f>+F44*H39</f>
        <v>0</v>
      </c>
    </row>
    <row r="45" spans="1:10" x14ac:dyDescent="0.25">
      <c r="C45" t="s">
        <v>1239</v>
      </c>
      <c r="F45" s="545"/>
      <c r="H45" s="544">
        <f>+H44+H42</f>
        <v>0</v>
      </c>
    </row>
    <row r="46" spans="1:10" x14ac:dyDescent="0.25">
      <c r="F46" s="545"/>
    </row>
    <row r="47" spans="1:10" x14ac:dyDescent="0.25">
      <c r="C47" t="s">
        <v>1241</v>
      </c>
      <c r="F47" s="545"/>
    </row>
    <row r="48" spans="1:10" hidden="1" x14ac:dyDescent="0.25">
      <c r="C48" t="s">
        <v>1242</v>
      </c>
      <c r="F48" s="321">
        <f>+IVA_Vivienda</f>
        <v>1E-14</v>
      </c>
      <c r="H48" s="496">
        <f>F48*H45</f>
        <v>0</v>
      </c>
    </row>
    <row r="49" spans="1:10" x14ac:dyDescent="0.25">
      <c r="C49" t="s">
        <v>1243</v>
      </c>
      <c r="F49" s="321">
        <f>Ingresos_Brutos</f>
        <v>2.4E-2</v>
      </c>
      <c r="H49" s="496">
        <f>+F49*H45</f>
        <v>0</v>
      </c>
    </row>
    <row r="51" spans="1:10" hidden="1" x14ac:dyDescent="0.25"/>
    <row r="52" spans="1:10" s="319" customFormat="1" ht="13.8" x14ac:dyDescent="0.25">
      <c r="A52" s="542"/>
      <c r="B52" s="542" t="s">
        <v>1244</v>
      </c>
      <c r="C52" s="542"/>
      <c r="D52" s="542"/>
      <c r="E52" s="542"/>
      <c r="F52" s="542"/>
      <c r="G52" s="542"/>
      <c r="H52" s="546">
        <f>+H49+H48+H45</f>
        <v>0</v>
      </c>
      <c r="I52" s="544"/>
      <c r="J52" s="544"/>
    </row>
    <row r="54" spans="1:10" x14ac:dyDescent="0.25">
      <c r="A54" s="580" t="str">
        <f>+CyP!A187</f>
        <v>Son Pesos:….................................................................................................................................................................................. con 00/100 mas IVA</v>
      </c>
      <c r="G54" s="581"/>
    </row>
    <row r="55" spans="1:10" x14ac:dyDescent="0.25">
      <c r="A55" s="319" t="s">
        <v>1549</v>
      </c>
      <c r="H55" s="582">
        <f>H52/161.49</f>
        <v>0</v>
      </c>
      <c r="I55" s="496"/>
    </row>
    <row r="57" spans="1:10" x14ac:dyDescent="0.25">
      <c r="H57" s="496"/>
    </row>
    <row r="71" spans="2:8" x14ac:dyDescent="0.25">
      <c r="B71" s="319"/>
    </row>
    <row r="73" spans="2:8" x14ac:dyDescent="0.25">
      <c r="C73" s="322"/>
      <c r="F73" s="366"/>
      <c r="H73" s="325"/>
    </row>
    <row r="74" spans="2:8" x14ac:dyDescent="0.25">
      <c r="H74" s="325"/>
    </row>
    <row r="75" spans="2:8" x14ac:dyDescent="0.25">
      <c r="C75" s="322"/>
      <c r="F75" s="323"/>
      <c r="H75" s="325"/>
    </row>
    <row r="77" spans="2:8" x14ac:dyDescent="0.25">
      <c r="C77" s="322"/>
      <c r="F77" s="323"/>
      <c r="H77" s="325"/>
    </row>
    <row r="81" spans="2:10" x14ac:dyDescent="0.25">
      <c r="B81" s="319"/>
      <c r="H81" s="324"/>
      <c r="I81" s="328"/>
      <c r="J81" s="323"/>
    </row>
    <row r="83" spans="2:10" x14ac:dyDescent="0.25">
      <c r="B83" s="319"/>
    </row>
    <row r="84" spans="2:10" x14ac:dyDescent="0.25">
      <c r="B84" s="319"/>
      <c r="H84" s="324"/>
      <c r="I84" s="323"/>
    </row>
    <row r="85" spans="2:10" x14ac:dyDescent="0.25">
      <c r="H85" s="324"/>
    </row>
    <row r="86" spans="2:10" x14ac:dyDescent="0.25">
      <c r="F86" s="321"/>
      <c r="H86" s="325"/>
    </row>
    <row r="87" spans="2:10" x14ac:dyDescent="0.25">
      <c r="H87" s="324"/>
    </row>
    <row r="88" spans="2:10" x14ac:dyDescent="0.25">
      <c r="H88" s="325"/>
    </row>
    <row r="89" spans="2:10" x14ac:dyDescent="0.25">
      <c r="F89" s="321"/>
      <c r="H89" s="325"/>
    </row>
    <row r="90" spans="2:10" x14ac:dyDescent="0.25">
      <c r="F90" s="321"/>
      <c r="H90" s="324"/>
    </row>
    <row r="91" spans="2:10" x14ac:dyDescent="0.25">
      <c r="F91" s="321"/>
      <c r="H91" s="325"/>
    </row>
    <row r="92" spans="2:10" x14ac:dyDescent="0.25">
      <c r="F92" s="321"/>
      <c r="H92" s="325"/>
    </row>
    <row r="93" spans="2:10" x14ac:dyDescent="0.25">
      <c r="F93" s="321"/>
      <c r="H93" s="325"/>
    </row>
    <row r="94" spans="2:10" x14ac:dyDescent="0.25">
      <c r="F94" s="321"/>
      <c r="H94" s="325"/>
    </row>
    <row r="95" spans="2:10" x14ac:dyDescent="0.25">
      <c r="F95" s="321"/>
    </row>
    <row r="97" spans="1:10" x14ac:dyDescent="0.25">
      <c r="A97" s="319"/>
      <c r="H97" s="324"/>
      <c r="I97" s="496"/>
      <c r="J97" s="323"/>
    </row>
    <row r="100" spans="1:10" x14ac:dyDescent="0.25">
      <c r="A100" s="90"/>
      <c r="H100" s="328"/>
    </row>
    <row r="101" spans="1:10" x14ac:dyDescent="0.25">
      <c r="H101" s="328"/>
    </row>
    <row r="103" spans="1:10" x14ac:dyDescent="0.25">
      <c r="H103" s="328"/>
    </row>
    <row r="105" spans="1:10" x14ac:dyDescent="0.25">
      <c r="H105" s="496"/>
      <c r="J105" s="328"/>
    </row>
  </sheetData>
  <printOptions horizontalCentered="1"/>
  <pageMargins left="0.59055118110236227" right="0.19685039370078741" top="1.1417322834645669" bottom="0.74803149606299213" header="0.51181102362204722" footer="0.31496062992125984"/>
  <pageSetup paperSize="5" scale="68"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325"/>
  <sheetViews>
    <sheetView workbookViewId="0"/>
  </sheetViews>
  <sheetFormatPr baseColWidth="10" defaultColWidth="11.44140625" defaultRowHeight="14.4" x14ac:dyDescent="0.25"/>
  <cols>
    <col min="1" max="1" width="11.44140625" style="56"/>
    <col min="2" max="2" width="23" style="56" bestFit="1" customWidth="1"/>
    <col min="3" max="3" width="49.44140625" style="60" bestFit="1" customWidth="1"/>
    <col min="4" max="4" width="17.33203125" style="60" bestFit="1" customWidth="1"/>
    <col min="5" max="16384" width="11.44140625" style="60"/>
  </cols>
  <sheetData>
    <row r="1" spans="1:4" x14ac:dyDescent="0.25">
      <c r="B1" s="57" t="s">
        <v>1163</v>
      </c>
      <c r="C1" s="58" t="s">
        <v>1164</v>
      </c>
      <c r="D1" s="59"/>
    </row>
    <row r="2" spans="1:4" x14ac:dyDescent="0.25">
      <c r="B2" s="57"/>
      <c r="C2" s="58"/>
      <c r="D2" s="59"/>
    </row>
    <row r="3" spans="1:4" x14ac:dyDescent="0.25">
      <c r="A3" s="73">
        <v>1</v>
      </c>
      <c r="B3" s="62" t="str">
        <f xml:space="preserve"> CONCATENATE(B1,"-",TEXT(A3,"0000"))</f>
        <v>III-0001</v>
      </c>
      <c r="C3" s="63" t="s">
        <v>904</v>
      </c>
      <c r="D3" s="59"/>
    </row>
    <row r="4" spans="1:4" x14ac:dyDescent="0.25">
      <c r="A4" s="73">
        <v>1</v>
      </c>
      <c r="B4" s="64" t="str">
        <f>CONCATENATE($B$3,".",TEXT(A4,"0000"))</f>
        <v>III-0001.0001</v>
      </c>
      <c r="C4" s="65" t="s">
        <v>905</v>
      </c>
      <c r="D4" s="59" t="s">
        <v>3</v>
      </c>
    </row>
    <row r="5" spans="1:4" x14ac:dyDescent="0.25">
      <c r="A5" s="73">
        <v>2</v>
      </c>
      <c r="B5" s="64" t="str">
        <f t="shared" ref="B5:B11" si="0">CONCATENATE($B$3,".",TEXT(A5,"0000"))</f>
        <v>III-0001.0002</v>
      </c>
      <c r="C5" s="65" t="s">
        <v>907</v>
      </c>
      <c r="D5" s="59" t="s">
        <v>3</v>
      </c>
    </row>
    <row r="6" spans="1:4" x14ac:dyDescent="0.25">
      <c r="A6" s="73">
        <v>3</v>
      </c>
      <c r="B6" s="64" t="str">
        <f t="shared" si="0"/>
        <v>III-0001.0003</v>
      </c>
      <c r="C6" s="65" t="s">
        <v>909</v>
      </c>
      <c r="D6" s="59" t="s">
        <v>3</v>
      </c>
    </row>
    <row r="7" spans="1:4" x14ac:dyDescent="0.25">
      <c r="A7" s="73">
        <v>4</v>
      </c>
      <c r="B7" s="64" t="str">
        <f t="shared" si="0"/>
        <v>III-0001.0004</v>
      </c>
      <c r="C7" s="65" t="s">
        <v>911</v>
      </c>
      <c r="D7" s="59" t="s">
        <v>5</v>
      </c>
    </row>
    <row r="8" spans="1:4" x14ac:dyDescent="0.25">
      <c r="A8" s="73">
        <v>5</v>
      </c>
      <c r="B8" s="64" t="str">
        <f t="shared" si="0"/>
        <v>III-0001.0005</v>
      </c>
      <c r="C8" s="65" t="s">
        <v>913</v>
      </c>
      <c r="D8" s="59" t="s">
        <v>3</v>
      </c>
    </row>
    <row r="9" spans="1:4" x14ac:dyDescent="0.25">
      <c r="A9" s="73">
        <v>6</v>
      </c>
      <c r="B9" s="64" t="str">
        <f t="shared" si="0"/>
        <v>III-0001.0006</v>
      </c>
      <c r="C9" s="65" t="s">
        <v>915</v>
      </c>
      <c r="D9" s="59" t="s">
        <v>3</v>
      </c>
    </row>
    <row r="10" spans="1:4" x14ac:dyDescent="0.25">
      <c r="A10" s="73">
        <v>7</v>
      </c>
      <c r="B10" s="64" t="str">
        <f t="shared" si="0"/>
        <v>III-0001.0007</v>
      </c>
      <c r="C10" s="65" t="s">
        <v>917</v>
      </c>
      <c r="D10" s="59" t="s">
        <v>3</v>
      </c>
    </row>
    <row r="11" spans="1:4" x14ac:dyDescent="0.25">
      <c r="A11" s="73">
        <v>8</v>
      </c>
      <c r="B11" s="64" t="str">
        <f t="shared" si="0"/>
        <v>III-0001.0008</v>
      </c>
      <c r="C11" s="65" t="s">
        <v>1165</v>
      </c>
      <c r="D11" s="59" t="s">
        <v>3</v>
      </c>
    </row>
    <row r="12" spans="1:4" x14ac:dyDescent="0.25">
      <c r="B12" s="59"/>
      <c r="C12" s="65"/>
      <c r="D12" s="59"/>
    </row>
    <row r="13" spans="1:4" x14ac:dyDescent="0.25">
      <c r="A13" s="61" t="s">
        <v>906</v>
      </c>
      <c r="B13" s="62" t="str">
        <f xml:space="preserve"> CONCATENATE(B1,"-",A13)</f>
        <v>III-0002</v>
      </c>
      <c r="C13" s="63" t="s">
        <v>918</v>
      </c>
      <c r="D13" s="59"/>
    </row>
    <row r="14" spans="1:4" x14ac:dyDescent="0.25">
      <c r="A14" s="61" t="s">
        <v>903</v>
      </c>
      <c r="B14" s="64" t="str">
        <f>CONCATENATE($B$13,".",A14)</f>
        <v>III-0002.0001</v>
      </c>
      <c r="C14" s="65" t="s">
        <v>919</v>
      </c>
      <c r="D14" s="59" t="s">
        <v>4</v>
      </c>
    </row>
    <row r="15" spans="1:4" x14ac:dyDescent="0.25">
      <c r="A15" s="61" t="s">
        <v>906</v>
      </c>
      <c r="B15" s="64" t="str">
        <f>CONCATENATE($B$13,".",A15)</f>
        <v>III-0002.0002</v>
      </c>
      <c r="C15" s="65" t="s">
        <v>920</v>
      </c>
      <c r="D15" s="59" t="s">
        <v>4</v>
      </c>
    </row>
    <row r="16" spans="1:4" x14ac:dyDescent="0.25">
      <c r="A16" s="61" t="s">
        <v>908</v>
      </c>
      <c r="B16" s="64" t="str">
        <f>CONCATENATE($B$13,".",A16)</f>
        <v>III-0002.0003</v>
      </c>
      <c r="C16" s="65" t="s">
        <v>921</v>
      </c>
      <c r="D16" s="59" t="s">
        <v>4</v>
      </c>
    </row>
    <row r="17" spans="1:4" x14ac:dyDescent="0.25">
      <c r="A17" s="61"/>
      <c r="B17" s="59"/>
      <c r="C17" s="65"/>
      <c r="D17" s="59"/>
    </row>
    <row r="18" spans="1:4" x14ac:dyDescent="0.25">
      <c r="A18" s="61"/>
      <c r="B18" s="59"/>
      <c r="C18" s="65"/>
      <c r="D18" s="59"/>
    </row>
    <row r="19" spans="1:4" x14ac:dyDescent="0.25">
      <c r="A19" s="61" t="s">
        <v>908</v>
      </c>
      <c r="B19" s="62" t="str">
        <f xml:space="preserve"> CONCATENATE(B1,"-",A19)</f>
        <v>III-0003</v>
      </c>
      <c r="C19" s="63" t="s">
        <v>1166</v>
      </c>
      <c r="D19" s="59"/>
    </row>
    <row r="20" spans="1:4" x14ac:dyDescent="0.25">
      <c r="A20" s="61" t="s">
        <v>903</v>
      </c>
      <c r="B20" s="64" t="str">
        <f>CONCATENATE($B$19,".",A20)</f>
        <v>III-0003.0001</v>
      </c>
      <c r="C20" s="65" t="s">
        <v>1167</v>
      </c>
      <c r="D20" s="59" t="s">
        <v>5</v>
      </c>
    </row>
    <row r="21" spans="1:4" x14ac:dyDescent="0.25">
      <c r="A21" s="61" t="s">
        <v>906</v>
      </c>
      <c r="B21" s="64" t="str">
        <f t="shared" ref="B21:B28" si="1">CONCATENATE($B$19,".",A21)</f>
        <v>III-0003.0002</v>
      </c>
      <c r="C21" s="65" t="s">
        <v>1168</v>
      </c>
      <c r="D21" s="59" t="s">
        <v>5</v>
      </c>
    </row>
    <row r="22" spans="1:4" x14ac:dyDescent="0.25">
      <c r="A22" s="61" t="s">
        <v>908</v>
      </c>
      <c r="B22" s="64" t="str">
        <f t="shared" si="1"/>
        <v>III-0003.0003</v>
      </c>
      <c r="C22" s="65" t="s">
        <v>1169</v>
      </c>
      <c r="D22" s="59" t="s">
        <v>4</v>
      </c>
    </row>
    <row r="23" spans="1:4" x14ac:dyDescent="0.25">
      <c r="A23" s="61" t="s">
        <v>910</v>
      </c>
      <c r="B23" s="64" t="str">
        <f t="shared" si="1"/>
        <v>III-0003.0004</v>
      </c>
      <c r="C23" s="65" t="s">
        <v>922</v>
      </c>
      <c r="D23" s="59" t="s">
        <v>5</v>
      </c>
    </row>
    <row r="24" spans="1:4" x14ac:dyDescent="0.25">
      <c r="A24" s="61" t="s">
        <v>912</v>
      </c>
      <c r="B24" s="64" t="str">
        <f t="shared" si="1"/>
        <v>III-0003.0005</v>
      </c>
      <c r="C24" s="65" t="s">
        <v>923</v>
      </c>
      <c r="D24" s="59" t="s">
        <v>5</v>
      </c>
    </row>
    <row r="25" spans="1:4" x14ac:dyDescent="0.25">
      <c r="A25" s="61" t="s">
        <v>914</v>
      </c>
      <c r="B25" s="64" t="str">
        <f t="shared" si="1"/>
        <v>III-0003.0006</v>
      </c>
      <c r="C25" s="65" t="s">
        <v>1170</v>
      </c>
      <c r="D25" s="59" t="s">
        <v>4</v>
      </c>
    </row>
    <row r="26" spans="1:4" x14ac:dyDescent="0.25">
      <c r="A26" s="61" t="s">
        <v>916</v>
      </c>
      <c r="B26" s="64" t="str">
        <f t="shared" si="1"/>
        <v>III-0003.0007</v>
      </c>
      <c r="C26" s="65"/>
      <c r="D26" s="59"/>
    </row>
    <row r="27" spans="1:4" x14ac:dyDescent="0.25">
      <c r="A27" s="61" t="s">
        <v>932</v>
      </c>
      <c r="B27" s="64" t="str">
        <f t="shared" si="1"/>
        <v>III-0003.0008</v>
      </c>
      <c r="C27" s="65"/>
      <c r="D27" s="59"/>
    </row>
    <row r="28" spans="1:4" x14ac:dyDescent="0.25">
      <c r="A28" s="61" t="s">
        <v>934</v>
      </c>
      <c r="B28" s="64" t="str">
        <f t="shared" si="1"/>
        <v>III-0003.0009</v>
      </c>
      <c r="C28" s="65"/>
      <c r="D28" s="59"/>
    </row>
    <row r="29" spans="1:4" x14ac:dyDescent="0.25">
      <c r="B29" s="59"/>
      <c r="C29" s="65"/>
      <c r="D29" s="59"/>
    </row>
    <row r="30" spans="1:4" x14ac:dyDescent="0.25">
      <c r="B30" s="59"/>
      <c r="C30" s="65"/>
      <c r="D30" s="59"/>
    </row>
    <row r="31" spans="1:4" x14ac:dyDescent="0.25">
      <c r="A31" s="61" t="s">
        <v>910</v>
      </c>
      <c r="B31" s="62" t="str">
        <f xml:space="preserve"> CONCATENATE(B1,"-",A31)</f>
        <v>III-0004</v>
      </c>
      <c r="C31" s="63" t="s">
        <v>924</v>
      </c>
      <c r="D31" s="59"/>
    </row>
    <row r="32" spans="1:4" x14ac:dyDescent="0.25">
      <c r="A32" s="61" t="s">
        <v>903</v>
      </c>
      <c r="B32" s="64" t="str">
        <f>CONCATENATE($B$31,".",A32)</f>
        <v>III-0004.0001</v>
      </c>
      <c r="C32" s="65" t="s">
        <v>925</v>
      </c>
      <c r="D32" s="59" t="s">
        <v>4</v>
      </c>
    </row>
    <row r="33" spans="1:4" x14ac:dyDescent="0.25">
      <c r="A33" s="61" t="s">
        <v>906</v>
      </c>
      <c r="B33" s="64" t="str">
        <f t="shared" ref="B33:B45" si="2">CONCATENATE($B$31,".",A33)</f>
        <v>III-0004.0002</v>
      </c>
      <c r="C33" s="65" t="s">
        <v>1171</v>
      </c>
      <c r="D33" s="59" t="s">
        <v>4</v>
      </c>
    </row>
    <row r="34" spans="1:4" x14ac:dyDescent="0.25">
      <c r="A34" s="61" t="s">
        <v>908</v>
      </c>
      <c r="B34" s="64" t="str">
        <f t="shared" si="2"/>
        <v>III-0004.0003</v>
      </c>
      <c r="C34" s="65" t="s">
        <v>926</v>
      </c>
      <c r="D34" s="59" t="s">
        <v>4</v>
      </c>
    </row>
    <row r="35" spans="1:4" x14ac:dyDescent="0.25">
      <c r="A35" s="61" t="s">
        <v>910</v>
      </c>
      <c r="B35" s="64" t="str">
        <f t="shared" si="2"/>
        <v>III-0004.0004</v>
      </c>
      <c r="C35" s="65" t="s">
        <v>927</v>
      </c>
      <c r="D35" s="59" t="s">
        <v>4</v>
      </c>
    </row>
    <row r="36" spans="1:4" x14ac:dyDescent="0.25">
      <c r="A36" s="61" t="s">
        <v>912</v>
      </c>
      <c r="B36" s="64" t="str">
        <f t="shared" si="2"/>
        <v>III-0004.0005</v>
      </c>
      <c r="C36" s="65" t="s">
        <v>928</v>
      </c>
      <c r="D36" s="59" t="s">
        <v>4</v>
      </c>
    </row>
    <row r="37" spans="1:4" x14ac:dyDescent="0.25">
      <c r="A37" s="61" t="s">
        <v>914</v>
      </c>
      <c r="B37" s="64" t="str">
        <f t="shared" si="2"/>
        <v>III-0004.0006</v>
      </c>
      <c r="C37" s="65" t="s">
        <v>929</v>
      </c>
      <c r="D37" s="59"/>
    </row>
    <row r="38" spans="1:4" x14ac:dyDescent="0.25">
      <c r="A38" s="61" t="s">
        <v>916</v>
      </c>
      <c r="B38" s="64" t="str">
        <f t="shared" si="2"/>
        <v>III-0004.0007</v>
      </c>
      <c r="C38" s="65" t="s">
        <v>930</v>
      </c>
      <c r="D38" s="59" t="s">
        <v>4</v>
      </c>
    </row>
    <row r="39" spans="1:4" x14ac:dyDescent="0.25">
      <c r="A39" s="61" t="s">
        <v>932</v>
      </c>
      <c r="B39" s="64" t="str">
        <f t="shared" si="2"/>
        <v>III-0004.0008</v>
      </c>
      <c r="C39" s="65" t="s">
        <v>931</v>
      </c>
      <c r="D39" s="59" t="s">
        <v>4</v>
      </c>
    </row>
    <row r="40" spans="1:4" x14ac:dyDescent="0.25">
      <c r="A40" s="61" t="s">
        <v>934</v>
      </c>
      <c r="B40" s="64" t="str">
        <f t="shared" si="2"/>
        <v>III-0004.0009</v>
      </c>
      <c r="C40" s="65" t="s">
        <v>933</v>
      </c>
      <c r="D40" s="59" t="s">
        <v>4</v>
      </c>
    </row>
    <row r="41" spans="1:4" x14ac:dyDescent="0.25">
      <c r="A41" s="61" t="s">
        <v>936</v>
      </c>
      <c r="B41" s="64" t="str">
        <f t="shared" si="2"/>
        <v>III-0004.0010</v>
      </c>
      <c r="C41" s="65" t="s">
        <v>935</v>
      </c>
      <c r="D41" s="59" t="s">
        <v>4</v>
      </c>
    </row>
    <row r="42" spans="1:4" x14ac:dyDescent="0.25">
      <c r="A42" s="61" t="s">
        <v>937</v>
      </c>
      <c r="B42" s="64" t="str">
        <f t="shared" si="2"/>
        <v>III-0004.0011</v>
      </c>
      <c r="C42" s="65" t="s">
        <v>1172</v>
      </c>
      <c r="D42" s="59" t="s">
        <v>4</v>
      </c>
    </row>
    <row r="43" spans="1:4" x14ac:dyDescent="0.25">
      <c r="A43" s="61" t="s">
        <v>939</v>
      </c>
      <c r="B43" s="64" t="str">
        <f t="shared" si="2"/>
        <v>III-0004.0012</v>
      </c>
      <c r="C43" s="65" t="s">
        <v>938</v>
      </c>
      <c r="D43" s="59" t="s">
        <v>5</v>
      </c>
    </row>
    <row r="44" spans="1:4" x14ac:dyDescent="0.25">
      <c r="A44" s="61" t="s">
        <v>997</v>
      </c>
      <c r="B44" s="64" t="str">
        <f t="shared" si="2"/>
        <v>III-0004.0013</v>
      </c>
      <c r="C44" s="65" t="s">
        <v>940</v>
      </c>
      <c r="D44" s="59" t="s">
        <v>4</v>
      </c>
    </row>
    <row r="45" spans="1:4" x14ac:dyDescent="0.25">
      <c r="A45" s="61" t="s">
        <v>1010</v>
      </c>
      <c r="B45" s="64" t="str">
        <f t="shared" si="2"/>
        <v>III-0004.0014</v>
      </c>
      <c r="C45" s="185" t="s">
        <v>1173</v>
      </c>
      <c r="D45" s="59" t="s">
        <v>3</v>
      </c>
    </row>
    <row r="46" spans="1:4" x14ac:dyDescent="0.25">
      <c r="B46" s="59"/>
      <c r="C46" s="65"/>
      <c r="D46" s="59"/>
    </row>
    <row r="47" spans="1:4" x14ac:dyDescent="0.25">
      <c r="A47" s="61" t="s">
        <v>912</v>
      </c>
      <c r="B47" s="62" t="str">
        <f xml:space="preserve"> CONCATENATE(B1,"-",A47)</f>
        <v>III-0005</v>
      </c>
      <c r="C47" s="63" t="s">
        <v>941</v>
      </c>
      <c r="D47" s="59"/>
    </row>
    <row r="48" spans="1:4" x14ac:dyDescent="0.25">
      <c r="A48" s="61" t="s">
        <v>903</v>
      </c>
      <c r="B48" s="64" t="str">
        <f>CONCATENATE($B$47,".",A48)</f>
        <v>III-0005.0001</v>
      </c>
      <c r="C48" s="65" t="s">
        <v>942</v>
      </c>
      <c r="D48" s="59" t="s">
        <v>5</v>
      </c>
    </row>
    <row r="49" spans="1:4" x14ac:dyDescent="0.25">
      <c r="A49" s="61" t="s">
        <v>906</v>
      </c>
      <c r="B49" s="64" t="str">
        <f t="shared" ref="B49:B57" si="3">CONCATENATE($B$47,".",A49)</f>
        <v>III-0005.0002</v>
      </c>
      <c r="C49" s="65" t="s">
        <v>943</v>
      </c>
      <c r="D49" s="59" t="s">
        <v>5</v>
      </c>
    </row>
    <row r="50" spans="1:4" x14ac:dyDescent="0.25">
      <c r="A50" s="61" t="s">
        <v>908</v>
      </c>
      <c r="B50" s="64" t="str">
        <f t="shared" si="3"/>
        <v>III-0005.0003</v>
      </c>
      <c r="C50" s="65" t="s">
        <v>944</v>
      </c>
      <c r="D50" s="59" t="s">
        <v>5</v>
      </c>
    </row>
    <row r="51" spans="1:4" x14ac:dyDescent="0.25">
      <c r="B51" s="59"/>
      <c r="C51" s="65"/>
      <c r="D51" s="59"/>
    </row>
    <row r="52" spans="1:4" x14ac:dyDescent="0.25">
      <c r="A52" s="61" t="s">
        <v>936</v>
      </c>
      <c r="B52" s="64" t="str">
        <f t="shared" si="3"/>
        <v>III-0005.0010</v>
      </c>
      <c r="C52" s="65" t="s">
        <v>945</v>
      </c>
      <c r="D52" s="59" t="s">
        <v>5</v>
      </c>
    </row>
    <row r="53" spans="1:4" x14ac:dyDescent="0.25">
      <c r="A53" s="61" t="s">
        <v>937</v>
      </c>
      <c r="B53" s="64" t="str">
        <f t="shared" si="3"/>
        <v>III-0005.0011</v>
      </c>
      <c r="C53" s="65" t="s">
        <v>946</v>
      </c>
      <c r="D53" s="59" t="s">
        <v>5</v>
      </c>
    </row>
    <row r="54" spans="1:4" x14ac:dyDescent="0.25">
      <c r="A54" s="61" t="s">
        <v>939</v>
      </c>
      <c r="B54" s="64" t="str">
        <f t="shared" si="3"/>
        <v>III-0005.0012</v>
      </c>
      <c r="C54" s="65" t="s">
        <v>947</v>
      </c>
      <c r="D54" s="59" t="s">
        <v>5</v>
      </c>
    </row>
    <row r="55" spans="1:4" x14ac:dyDescent="0.25">
      <c r="B55" s="59"/>
      <c r="C55" s="65"/>
      <c r="D55" s="59"/>
    </row>
    <row r="56" spans="1:4" x14ac:dyDescent="0.25">
      <c r="A56" s="61" t="s">
        <v>948</v>
      </c>
      <c r="B56" s="64" t="str">
        <f t="shared" si="3"/>
        <v>III-0005.0021</v>
      </c>
      <c r="C56" s="65" t="s">
        <v>949</v>
      </c>
      <c r="D56" s="59" t="s">
        <v>5</v>
      </c>
    </row>
    <row r="57" spans="1:4" x14ac:dyDescent="0.25">
      <c r="A57" s="61" t="s">
        <v>950</v>
      </c>
      <c r="B57" s="64" t="str">
        <f t="shared" si="3"/>
        <v>III-0005.0022</v>
      </c>
      <c r="C57" s="65" t="s">
        <v>951</v>
      </c>
      <c r="D57" s="59" t="s">
        <v>5</v>
      </c>
    </row>
    <row r="58" spans="1:4" x14ac:dyDescent="0.25">
      <c r="B58" s="59"/>
      <c r="C58" s="65"/>
      <c r="D58" s="59"/>
    </row>
    <row r="59" spans="1:4" x14ac:dyDescent="0.25">
      <c r="B59" s="59"/>
      <c r="C59" s="65"/>
      <c r="D59" s="59"/>
    </row>
    <row r="60" spans="1:4" x14ac:dyDescent="0.25">
      <c r="A60" s="61" t="s">
        <v>914</v>
      </c>
      <c r="B60" s="62" t="str">
        <f xml:space="preserve"> CONCATENATE(B1,"-",A60)</f>
        <v>III-0006</v>
      </c>
      <c r="C60" s="63" t="s">
        <v>952</v>
      </c>
      <c r="D60" s="59"/>
    </row>
    <row r="61" spans="1:4" x14ac:dyDescent="0.25">
      <c r="A61" s="61" t="s">
        <v>903</v>
      </c>
      <c r="B61" s="64" t="str">
        <f>CONCATENATE($B$60,".",A61)</f>
        <v>III-0006.0001</v>
      </c>
      <c r="C61" s="65" t="s">
        <v>953</v>
      </c>
      <c r="D61" s="59" t="s">
        <v>5</v>
      </c>
    </row>
    <row r="62" spans="1:4" x14ac:dyDescent="0.25">
      <c r="A62" s="61" t="s">
        <v>906</v>
      </c>
      <c r="B62" s="64" t="str">
        <f t="shared" ref="B62:B68" si="4">CONCATENATE($B$60,".",A62)</f>
        <v>III-0006.0002</v>
      </c>
      <c r="C62" s="65" t="s">
        <v>954</v>
      </c>
      <c r="D62" s="59" t="s">
        <v>5</v>
      </c>
    </row>
    <row r="63" spans="1:4" x14ac:dyDescent="0.25">
      <c r="A63" s="61" t="s">
        <v>908</v>
      </c>
      <c r="B63" s="64" t="str">
        <f t="shared" si="4"/>
        <v>III-0006.0003</v>
      </c>
      <c r="C63" s="65" t="s">
        <v>955</v>
      </c>
      <c r="D63" s="59" t="s">
        <v>5</v>
      </c>
    </row>
    <row r="64" spans="1:4" x14ac:dyDescent="0.25">
      <c r="A64" s="61" t="s">
        <v>910</v>
      </c>
      <c r="B64" s="64" t="str">
        <f t="shared" si="4"/>
        <v>III-0006.0004</v>
      </c>
      <c r="C64" s="65" t="s">
        <v>956</v>
      </c>
      <c r="D64" s="59" t="s">
        <v>5</v>
      </c>
    </row>
    <row r="65" spans="1:4" x14ac:dyDescent="0.25">
      <c r="A65" s="61" t="s">
        <v>912</v>
      </c>
      <c r="B65" s="64" t="str">
        <f t="shared" si="4"/>
        <v>III-0006.0005</v>
      </c>
      <c r="C65" s="65" t="s">
        <v>957</v>
      </c>
      <c r="D65" s="59" t="s">
        <v>5</v>
      </c>
    </row>
    <row r="66" spans="1:4" x14ac:dyDescent="0.25">
      <c r="A66" s="61" t="s">
        <v>914</v>
      </c>
      <c r="B66" s="64" t="str">
        <f t="shared" si="4"/>
        <v>III-0006.0006</v>
      </c>
      <c r="C66" s="65" t="s">
        <v>958</v>
      </c>
      <c r="D66" s="59" t="s">
        <v>5</v>
      </c>
    </row>
    <row r="67" spans="1:4" x14ac:dyDescent="0.25">
      <c r="A67" s="61" t="s">
        <v>916</v>
      </c>
      <c r="B67" s="64" t="str">
        <f t="shared" si="4"/>
        <v>III-0006.0007</v>
      </c>
      <c r="C67" s="65" t="s">
        <v>959</v>
      </c>
      <c r="D67" s="59" t="s">
        <v>5</v>
      </c>
    </row>
    <row r="68" spans="1:4" x14ac:dyDescent="0.25">
      <c r="A68" s="61" t="s">
        <v>932</v>
      </c>
      <c r="B68" s="64" t="str">
        <f t="shared" si="4"/>
        <v>III-0006.0008</v>
      </c>
      <c r="C68" s="65" t="s">
        <v>960</v>
      </c>
      <c r="D68" s="59" t="s">
        <v>5</v>
      </c>
    </row>
    <row r="69" spans="1:4" x14ac:dyDescent="0.25">
      <c r="A69" s="61"/>
      <c r="B69" s="59"/>
      <c r="C69" s="65"/>
      <c r="D69" s="59"/>
    </row>
    <row r="70" spans="1:4" x14ac:dyDescent="0.25">
      <c r="B70" s="59"/>
      <c r="C70" s="65"/>
      <c r="D70" s="59"/>
    </row>
    <row r="71" spans="1:4" x14ac:dyDescent="0.25">
      <c r="A71" s="61" t="s">
        <v>936</v>
      </c>
      <c r="B71" s="64" t="str">
        <f>CONCATENATE($B$60,".",A71)</f>
        <v>III-0006.0010</v>
      </c>
      <c r="C71" s="65" t="s">
        <v>961</v>
      </c>
      <c r="D71" s="59" t="s">
        <v>5</v>
      </c>
    </row>
    <row r="72" spans="1:4" x14ac:dyDescent="0.25">
      <c r="A72" s="61" t="s">
        <v>937</v>
      </c>
      <c r="B72" s="64" t="str">
        <f>CONCATENATE($B$60,".",A72)</f>
        <v>III-0006.0011</v>
      </c>
      <c r="C72" s="65" t="s">
        <v>962</v>
      </c>
      <c r="D72" s="59" t="s">
        <v>5</v>
      </c>
    </row>
    <row r="73" spans="1:4" x14ac:dyDescent="0.25">
      <c r="A73" s="61"/>
      <c r="B73" s="59"/>
      <c r="C73" s="65"/>
      <c r="D73" s="59"/>
    </row>
    <row r="74" spans="1:4" x14ac:dyDescent="0.25">
      <c r="A74" s="61" t="s">
        <v>963</v>
      </c>
      <c r="B74" s="64" t="str">
        <f>CONCATENATE($B$60,".",A74)</f>
        <v>III-0006.0020</v>
      </c>
      <c r="C74" s="65" t="s">
        <v>964</v>
      </c>
      <c r="D74" s="59" t="s">
        <v>5</v>
      </c>
    </row>
    <row r="75" spans="1:4" x14ac:dyDescent="0.25">
      <c r="A75" s="61" t="s">
        <v>948</v>
      </c>
      <c r="B75" s="64" t="str">
        <f>CONCATENATE($B$60,".",A75)</f>
        <v>III-0006.0021</v>
      </c>
      <c r="C75" s="65" t="s">
        <v>965</v>
      </c>
      <c r="D75" s="59" t="s">
        <v>5</v>
      </c>
    </row>
    <row r="76" spans="1:4" x14ac:dyDescent="0.25">
      <c r="A76" s="61"/>
      <c r="B76" s="59"/>
      <c r="C76" s="65"/>
      <c r="D76" s="59"/>
    </row>
    <row r="77" spans="1:4" x14ac:dyDescent="0.25">
      <c r="A77" s="61"/>
      <c r="B77" s="59"/>
      <c r="C77" s="65"/>
      <c r="D77" s="59"/>
    </row>
    <row r="78" spans="1:4" x14ac:dyDescent="0.25">
      <c r="A78" s="61" t="s">
        <v>916</v>
      </c>
      <c r="B78" s="62" t="str">
        <f xml:space="preserve"> CONCATENATE("I-",A78)</f>
        <v>I-0007</v>
      </c>
      <c r="C78" s="63" t="s">
        <v>966</v>
      </c>
      <c r="D78" s="59"/>
    </row>
    <row r="79" spans="1:4" x14ac:dyDescent="0.25">
      <c r="A79" s="61" t="s">
        <v>903</v>
      </c>
      <c r="B79" s="64" t="str">
        <f>CONCATENATE($B$78,".",A79)</f>
        <v>I-0007.0001</v>
      </c>
      <c r="C79" s="65" t="s">
        <v>1174</v>
      </c>
      <c r="D79" s="59" t="s">
        <v>5</v>
      </c>
    </row>
    <row r="80" spans="1:4" x14ac:dyDescent="0.25">
      <c r="A80" s="61" t="s">
        <v>906</v>
      </c>
      <c r="B80" s="64" t="str">
        <f>CONCATENATE($B$78,".",A80)</f>
        <v>I-0007.0002</v>
      </c>
      <c r="C80" s="65" t="s">
        <v>725</v>
      </c>
      <c r="D80" s="59" t="s">
        <v>5</v>
      </c>
    </row>
    <row r="81" spans="1:4" x14ac:dyDescent="0.25">
      <c r="A81" s="61" t="s">
        <v>908</v>
      </c>
      <c r="B81" s="64" t="str">
        <f>CONCATENATE($B$78,".",A81)</f>
        <v>I-0007.0003</v>
      </c>
      <c r="C81" s="65" t="s">
        <v>967</v>
      </c>
      <c r="D81" s="59" t="s">
        <v>5</v>
      </c>
    </row>
    <row r="82" spans="1:4" x14ac:dyDescent="0.25">
      <c r="A82" s="61" t="s">
        <v>910</v>
      </c>
      <c r="B82" s="64" t="str">
        <f>CONCATENATE($B$78,".",A82)</f>
        <v>I-0007.0004</v>
      </c>
      <c r="C82" s="65" t="s">
        <v>968</v>
      </c>
      <c r="D82" s="59" t="s">
        <v>5</v>
      </c>
    </row>
    <row r="83" spans="1:4" x14ac:dyDescent="0.25">
      <c r="A83" s="61"/>
      <c r="B83" s="59"/>
      <c r="C83" s="65"/>
      <c r="D83" s="59"/>
    </row>
    <row r="84" spans="1:4" x14ac:dyDescent="0.25">
      <c r="A84" s="61"/>
      <c r="B84" s="59"/>
      <c r="C84" s="65"/>
      <c r="D84" s="59"/>
    </row>
    <row r="85" spans="1:4" x14ac:dyDescent="0.25">
      <c r="A85" s="61" t="s">
        <v>932</v>
      </c>
      <c r="B85" s="62" t="str">
        <f xml:space="preserve"> CONCATENATE("I-",A85)</f>
        <v>I-0008</v>
      </c>
      <c r="C85" s="63" t="s">
        <v>969</v>
      </c>
      <c r="D85" s="59"/>
    </row>
    <row r="86" spans="1:4" x14ac:dyDescent="0.25">
      <c r="A86" s="61" t="s">
        <v>903</v>
      </c>
      <c r="B86" s="64" t="str">
        <f>CONCATENATE($B$85,".",A86)</f>
        <v>I-0008.0001</v>
      </c>
      <c r="C86" s="65" t="s">
        <v>970</v>
      </c>
      <c r="D86" s="59" t="s">
        <v>5</v>
      </c>
    </row>
    <row r="87" spans="1:4" x14ac:dyDescent="0.25">
      <c r="A87" s="61" t="s">
        <v>906</v>
      </c>
      <c r="B87" s="64" t="str">
        <f>CONCATENATE($B$85,".",A87)</f>
        <v>I-0008.0002</v>
      </c>
      <c r="C87" s="65" t="s">
        <v>971</v>
      </c>
      <c r="D87" s="59" t="s">
        <v>5</v>
      </c>
    </row>
    <row r="88" spans="1:4" x14ac:dyDescent="0.25">
      <c r="A88" s="61" t="s">
        <v>908</v>
      </c>
      <c r="B88" s="64" t="str">
        <f>CONCATENATE($B$85,".",A88)</f>
        <v>I-0008.0003</v>
      </c>
      <c r="C88" s="65" t="s">
        <v>972</v>
      </c>
      <c r="D88" s="59" t="s">
        <v>5</v>
      </c>
    </row>
    <row r="89" spans="1:4" x14ac:dyDescent="0.25">
      <c r="A89" s="61" t="s">
        <v>910</v>
      </c>
      <c r="B89" s="64" t="str">
        <f>CONCATENATE($B$85,".",A89)</f>
        <v>I-0008.0004</v>
      </c>
      <c r="C89" s="65" t="s">
        <v>973</v>
      </c>
      <c r="D89" s="59" t="s">
        <v>5</v>
      </c>
    </row>
    <row r="90" spans="1:4" x14ac:dyDescent="0.25">
      <c r="B90" s="59"/>
      <c r="C90" s="65"/>
      <c r="D90" s="59"/>
    </row>
    <row r="91" spans="1:4" x14ac:dyDescent="0.25">
      <c r="B91" s="59"/>
      <c r="C91" s="65"/>
      <c r="D91" s="59"/>
    </row>
    <row r="92" spans="1:4" x14ac:dyDescent="0.25">
      <c r="A92" s="61" t="s">
        <v>934</v>
      </c>
      <c r="B92" s="62" t="str">
        <f xml:space="preserve"> CONCATENATE("I-",A92)</f>
        <v>I-0009</v>
      </c>
      <c r="C92" s="63" t="s">
        <v>974</v>
      </c>
      <c r="D92" s="59"/>
    </row>
    <row r="93" spans="1:4" x14ac:dyDescent="0.25">
      <c r="A93" s="61" t="s">
        <v>903</v>
      </c>
      <c r="B93" s="64" t="str">
        <f>CONCATENATE($B$92,".",A93)</f>
        <v>I-0009.0001</v>
      </c>
      <c r="C93" s="65" t="s">
        <v>1175</v>
      </c>
      <c r="D93" s="59" t="s">
        <v>5</v>
      </c>
    </row>
    <row r="94" spans="1:4" x14ac:dyDescent="0.25">
      <c r="A94" s="61" t="s">
        <v>906</v>
      </c>
      <c r="B94" s="64" t="str">
        <f>CONCATENATE($B$92,".",A94)</f>
        <v>I-0009.0002</v>
      </c>
      <c r="C94" s="65" t="s">
        <v>1176</v>
      </c>
      <c r="D94" s="59" t="s">
        <v>5</v>
      </c>
    </row>
    <row r="95" spans="1:4" x14ac:dyDescent="0.25">
      <c r="A95" s="61" t="s">
        <v>908</v>
      </c>
      <c r="B95" s="64" t="str">
        <f>CONCATENATE($B$92,".",A95)</f>
        <v>I-0009.0003</v>
      </c>
      <c r="C95" s="65" t="s">
        <v>975</v>
      </c>
      <c r="D95" s="59" t="s">
        <v>5</v>
      </c>
    </row>
    <row r="96" spans="1:4" x14ac:dyDescent="0.25">
      <c r="A96" s="61" t="s">
        <v>910</v>
      </c>
      <c r="B96" s="64" t="str">
        <f>CONCATENATE($B$92,".",A96)</f>
        <v>I-0009.0004</v>
      </c>
      <c r="C96" s="65" t="s">
        <v>976</v>
      </c>
      <c r="D96" s="59" t="s">
        <v>5</v>
      </c>
    </row>
    <row r="97" spans="1:4" x14ac:dyDescent="0.25">
      <c r="B97" s="59"/>
      <c r="C97" s="65"/>
      <c r="D97" s="59"/>
    </row>
    <row r="98" spans="1:4" x14ac:dyDescent="0.25">
      <c r="B98" s="59"/>
      <c r="C98" s="65"/>
      <c r="D98" s="59"/>
    </row>
    <row r="99" spans="1:4" x14ac:dyDescent="0.25">
      <c r="A99" s="61" t="s">
        <v>936</v>
      </c>
      <c r="B99" s="62" t="str">
        <f xml:space="preserve"> CONCATENATE("I-",A99)</f>
        <v>I-0010</v>
      </c>
      <c r="C99" s="63" t="s">
        <v>977</v>
      </c>
      <c r="D99" s="59"/>
    </row>
    <row r="100" spans="1:4" x14ac:dyDescent="0.25">
      <c r="A100" s="61" t="s">
        <v>903</v>
      </c>
      <c r="B100" s="64" t="str">
        <f>CONCATENATE($B$99,".",A100)</f>
        <v>I-0010.0001</v>
      </c>
      <c r="C100" s="65" t="s">
        <v>978</v>
      </c>
      <c r="D100" s="59" t="s">
        <v>5</v>
      </c>
    </row>
    <row r="101" spans="1:4" x14ac:dyDescent="0.25">
      <c r="A101" s="61" t="s">
        <v>906</v>
      </c>
      <c r="B101" s="64" t="str">
        <f t="shared" ref="B101:B106" si="5">CONCATENATE($B$99,".",A101)</f>
        <v>I-0010.0002</v>
      </c>
      <c r="C101" s="65" t="s">
        <v>979</v>
      </c>
      <c r="D101" s="59" t="s">
        <v>5</v>
      </c>
    </row>
    <row r="102" spans="1:4" x14ac:dyDescent="0.25">
      <c r="A102" s="61" t="s">
        <v>908</v>
      </c>
      <c r="B102" s="64" t="str">
        <f t="shared" si="5"/>
        <v>I-0010.0003</v>
      </c>
      <c r="C102" s="65" t="s">
        <v>980</v>
      </c>
      <c r="D102" s="59" t="s">
        <v>5</v>
      </c>
    </row>
    <row r="103" spans="1:4" x14ac:dyDescent="0.25">
      <c r="A103" s="61" t="s">
        <v>910</v>
      </c>
      <c r="B103" s="64" t="str">
        <f t="shared" si="5"/>
        <v>I-0010.0004</v>
      </c>
      <c r="C103" s="65" t="s">
        <v>981</v>
      </c>
      <c r="D103" s="59" t="s">
        <v>5</v>
      </c>
    </row>
    <row r="104" spans="1:4" x14ac:dyDescent="0.25">
      <c r="A104" s="61" t="s">
        <v>912</v>
      </c>
      <c r="B104" s="64" t="str">
        <f t="shared" si="5"/>
        <v>I-0010.0005</v>
      </c>
      <c r="C104" s="65" t="s">
        <v>982</v>
      </c>
      <c r="D104" s="59" t="s">
        <v>5</v>
      </c>
    </row>
    <row r="105" spans="1:4" x14ac:dyDescent="0.25">
      <c r="A105" s="61" t="s">
        <v>914</v>
      </c>
      <c r="B105" s="64" t="str">
        <f t="shared" si="5"/>
        <v>I-0010.0006</v>
      </c>
      <c r="C105" s="65" t="s">
        <v>983</v>
      </c>
      <c r="D105" s="59" t="s">
        <v>5</v>
      </c>
    </row>
    <row r="106" spans="1:4" x14ac:dyDescent="0.25">
      <c r="A106" s="61" t="s">
        <v>916</v>
      </c>
      <c r="B106" s="64" t="str">
        <f t="shared" si="5"/>
        <v>I-0010.0007</v>
      </c>
      <c r="C106" s="65" t="s">
        <v>984</v>
      </c>
      <c r="D106" s="59" t="s">
        <v>5</v>
      </c>
    </row>
    <row r="107" spans="1:4" x14ac:dyDescent="0.25">
      <c r="B107" s="59"/>
      <c r="C107" s="65"/>
      <c r="D107" s="59"/>
    </row>
    <row r="108" spans="1:4" x14ac:dyDescent="0.25">
      <c r="B108" s="59"/>
      <c r="C108" s="65"/>
      <c r="D108" s="59"/>
    </row>
    <row r="109" spans="1:4" x14ac:dyDescent="0.25">
      <c r="A109" s="61" t="s">
        <v>937</v>
      </c>
      <c r="B109" s="62" t="str">
        <f xml:space="preserve"> CONCATENATE("I-",A109)</f>
        <v>I-0011</v>
      </c>
      <c r="C109" s="63" t="s">
        <v>6</v>
      </c>
      <c r="D109" s="59"/>
    </row>
    <row r="110" spans="1:4" x14ac:dyDescent="0.25">
      <c r="A110" s="61" t="s">
        <v>903</v>
      </c>
      <c r="B110" s="64" t="str">
        <f>CONCATENATE($B$109,".",A110)</f>
        <v>I-0011.0001</v>
      </c>
      <c r="C110" s="65" t="s">
        <v>985</v>
      </c>
      <c r="D110" s="59" t="s">
        <v>5</v>
      </c>
    </row>
    <row r="111" spans="1:4" x14ac:dyDescent="0.25">
      <c r="A111" s="61" t="s">
        <v>906</v>
      </c>
      <c r="B111" s="64" t="str">
        <f>CONCATENATE($B$109,".",A111)</f>
        <v>I-0011.0002</v>
      </c>
      <c r="C111" s="65" t="s">
        <v>986</v>
      </c>
      <c r="D111" s="59" t="s">
        <v>5</v>
      </c>
    </row>
    <row r="112" spans="1:4" x14ac:dyDescent="0.25">
      <c r="A112" s="61" t="s">
        <v>908</v>
      </c>
      <c r="B112" s="64" t="str">
        <f>CONCATENATE($B$109,".",A112)</f>
        <v>I-0011.0003</v>
      </c>
      <c r="C112" s="65" t="s">
        <v>987</v>
      </c>
      <c r="D112" s="59" t="s">
        <v>5</v>
      </c>
    </row>
    <row r="113" spans="1:4" x14ac:dyDescent="0.25">
      <c r="A113" s="61" t="s">
        <v>910</v>
      </c>
      <c r="B113" s="64" t="str">
        <f>CONCATENATE($B$109,".",A113)</f>
        <v>I-0011.0004</v>
      </c>
      <c r="C113" s="65" t="s">
        <v>988</v>
      </c>
      <c r="D113" s="59" t="s">
        <v>5</v>
      </c>
    </row>
    <row r="114" spans="1:4" x14ac:dyDescent="0.25">
      <c r="A114" s="61" t="s">
        <v>912</v>
      </c>
      <c r="B114" s="64" t="str">
        <f>CONCATENATE($B$109,".",A114)</f>
        <v>I-0011.0005</v>
      </c>
      <c r="C114" s="65" t="s">
        <v>989</v>
      </c>
      <c r="D114" s="59" t="s">
        <v>5</v>
      </c>
    </row>
    <row r="115" spans="1:4" x14ac:dyDescent="0.25">
      <c r="B115" s="59"/>
      <c r="C115" s="65"/>
      <c r="D115" s="59"/>
    </row>
    <row r="116" spans="1:4" x14ac:dyDescent="0.25">
      <c r="B116" s="59"/>
      <c r="C116" s="65"/>
      <c r="D116" s="59"/>
    </row>
    <row r="117" spans="1:4" x14ac:dyDescent="0.25">
      <c r="A117" s="61" t="s">
        <v>939</v>
      </c>
      <c r="B117" s="62" t="str">
        <f xml:space="preserve"> CONCATENATE("I-",A117)</f>
        <v>I-0012</v>
      </c>
      <c r="C117" s="63" t="s">
        <v>990</v>
      </c>
      <c r="D117" s="59"/>
    </row>
    <row r="118" spans="1:4" x14ac:dyDescent="0.25">
      <c r="A118" s="61" t="s">
        <v>903</v>
      </c>
      <c r="B118" s="64" t="str">
        <f t="shared" ref="B118:B123" si="6">CONCATENATE($B$117,".",A118)</f>
        <v>I-0012.0001</v>
      </c>
      <c r="C118" s="65" t="s">
        <v>991</v>
      </c>
      <c r="D118" s="59" t="s">
        <v>5</v>
      </c>
    </row>
    <row r="119" spans="1:4" x14ac:dyDescent="0.25">
      <c r="A119" s="61" t="s">
        <v>906</v>
      </c>
      <c r="B119" s="64" t="str">
        <f t="shared" si="6"/>
        <v>I-0012.0002</v>
      </c>
      <c r="C119" s="65" t="s">
        <v>992</v>
      </c>
      <c r="D119" s="59" t="s">
        <v>5</v>
      </c>
    </row>
    <row r="120" spans="1:4" x14ac:dyDescent="0.25">
      <c r="A120" s="61" t="s">
        <v>908</v>
      </c>
      <c r="B120" s="64" t="str">
        <f t="shared" si="6"/>
        <v>I-0012.0003</v>
      </c>
      <c r="C120" s="65" t="s">
        <v>993</v>
      </c>
      <c r="D120" s="59" t="s">
        <v>5</v>
      </c>
    </row>
    <row r="121" spans="1:4" x14ac:dyDescent="0.25">
      <c r="A121" s="61" t="s">
        <v>910</v>
      </c>
      <c r="B121" s="64" t="str">
        <f t="shared" si="6"/>
        <v>I-0012.0004</v>
      </c>
      <c r="C121" s="65" t="s">
        <v>994</v>
      </c>
      <c r="D121" s="59" t="s">
        <v>5</v>
      </c>
    </row>
    <row r="122" spans="1:4" x14ac:dyDescent="0.25">
      <c r="A122" s="61" t="s">
        <v>912</v>
      </c>
      <c r="B122" s="64" t="str">
        <f t="shared" si="6"/>
        <v>I-0012.0005</v>
      </c>
      <c r="C122" s="65" t="s">
        <v>995</v>
      </c>
      <c r="D122" s="59" t="s">
        <v>5</v>
      </c>
    </row>
    <row r="123" spans="1:4" x14ac:dyDescent="0.25">
      <c r="A123" s="61" t="s">
        <v>914</v>
      </c>
      <c r="B123" s="64" t="str">
        <f t="shared" si="6"/>
        <v>I-0012.0006</v>
      </c>
      <c r="C123" s="65" t="s">
        <v>996</v>
      </c>
      <c r="D123" s="59" t="s">
        <v>5</v>
      </c>
    </row>
    <row r="124" spans="1:4" x14ac:dyDescent="0.25">
      <c r="B124" s="66"/>
      <c r="C124" s="66"/>
      <c r="D124" s="59"/>
    </row>
    <row r="125" spans="1:4" x14ac:dyDescent="0.25">
      <c r="B125" s="59"/>
      <c r="C125" s="65"/>
      <c r="D125" s="59"/>
    </row>
    <row r="126" spans="1:4" x14ac:dyDescent="0.25">
      <c r="A126" s="61" t="s">
        <v>997</v>
      </c>
      <c r="B126" s="62" t="str">
        <f xml:space="preserve"> CONCATENATE("I-",A126)</f>
        <v>I-0013</v>
      </c>
      <c r="C126" s="63" t="s">
        <v>1177</v>
      </c>
      <c r="D126" s="59"/>
    </row>
    <row r="127" spans="1:4" x14ac:dyDescent="0.25">
      <c r="A127" s="61" t="s">
        <v>903</v>
      </c>
      <c r="B127" s="64" t="str">
        <f>CONCATENATE($B$126,".",A127)</f>
        <v>I-0013.0001</v>
      </c>
      <c r="C127" s="65" t="s">
        <v>998</v>
      </c>
      <c r="D127" s="59" t="s">
        <v>5</v>
      </c>
    </row>
    <row r="128" spans="1:4" x14ac:dyDescent="0.25">
      <c r="A128" s="61" t="s">
        <v>906</v>
      </c>
      <c r="B128" s="64" t="str">
        <f t="shared" ref="B128:B140" si="7">CONCATENATE($B$126,".",A128)</f>
        <v>I-0013.0002</v>
      </c>
      <c r="C128" s="65" t="s">
        <v>999</v>
      </c>
      <c r="D128" s="59" t="s">
        <v>5</v>
      </c>
    </row>
    <row r="129" spans="1:4" x14ac:dyDescent="0.25">
      <c r="A129" s="61" t="s">
        <v>908</v>
      </c>
      <c r="B129" s="64" t="str">
        <f t="shared" si="7"/>
        <v>I-0013.0003</v>
      </c>
      <c r="C129" s="65" t="s">
        <v>1000</v>
      </c>
      <c r="D129" s="59" t="s">
        <v>5</v>
      </c>
    </row>
    <row r="130" spans="1:4" x14ac:dyDescent="0.25">
      <c r="A130" s="61" t="s">
        <v>910</v>
      </c>
      <c r="B130" s="64" t="str">
        <f t="shared" si="7"/>
        <v>I-0013.0004</v>
      </c>
      <c r="C130" s="65" t="s">
        <v>1001</v>
      </c>
      <c r="D130" s="59" t="s">
        <v>5</v>
      </c>
    </row>
    <row r="131" spans="1:4" x14ac:dyDescent="0.25">
      <c r="A131" s="61" t="s">
        <v>912</v>
      </c>
      <c r="B131" s="64" t="str">
        <f t="shared" si="7"/>
        <v>I-0013.0005</v>
      </c>
      <c r="C131" s="65" t="s">
        <v>1002</v>
      </c>
      <c r="D131" s="59" t="s">
        <v>5</v>
      </c>
    </row>
    <row r="132" spans="1:4" x14ac:dyDescent="0.25">
      <c r="A132" s="61" t="s">
        <v>914</v>
      </c>
      <c r="B132" s="64" t="str">
        <f t="shared" si="7"/>
        <v>I-0013.0006</v>
      </c>
      <c r="C132" s="65" t="s">
        <v>1003</v>
      </c>
      <c r="D132" s="59" t="s">
        <v>5</v>
      </c>
    </row>
    <row r="133" spans="1:4" x14ac:dyDescent="0.25">
      <c r="A133" s="61" t="s">
        <v>916</v>
      </c>
      <c r="B133" s="64" t="str">
        <f t="shared" si="7"/>
        <v>I-0013.0007</v>
      </c>
      <c r="C133" s="65" t="s">
        <v>1004</v>
      </c>
      <c r="D133" s="59" t="s">
        <v>5</v>
      </c>
    </row>
    <row r="134" spans="1:4" x14ac:dyDescent="0.25">
      <c r="A134" s="61" t="s">
        <v>932</v>
      </c>
      <c r="B134" s="64" t="str">
        <f t="shared" si="7"/>
        <v>I-0013.0008</v>
      </c>
      <c r="C134" s="65" t="s">
        <v>1005</v>
      </c>
      <c r="D134" s="59" t="s">
        <v>5</v>
      </c>
    </row>
    <row r="135" spans="1:4" x14ac:dyDescent="0.25">
      <c r="A135" s="61"/>
      <c r="B135" s="64"/>
      <c r="C135" s="65"/>
      <c r="D135" s="59"/>
    </row>
    <row r="136" spans="1:4" x14ac:dyDescent="0.25">
      <c r="A136" s="61" t="s">
        <v>1010</v>
      </c>
      <c r="B136" s="62" t="str">
        <f xml:space="preserve"> CONCATENATE("I-",A136)</f>
        <v>I-0014</v>
      </c>
      <c r="C136" s="63" t="s">
        <v>1178</v>
      </c>
      <c r="D136" s="59"/>
    </row>
    <row r="137" spans="1:4" x14ac:dyDescent="0.25">
      <c r="A137" s="61" t="s">
        <v>936</v>
      </c>
      <c r="B137" s="64" t="str">
        <f t="shared" si="7"/>
        <v>I-0013.0010</v>
      </c>
      <c r="C137" s="65" t="s">
        <v>1006</v>
      </c>
      <c r="D137" s="59" t="s">
        <v>5</v>
      </c>
    </row>
    <row r="138" spans="1:4" x14ac:dyDescent="0.25">
      <c r="A138" s="61" t="s">
        <v>937</v>
      </c>
      <c r="B138" s="64" t="str">
        <f t="shared" si="7"/>
        <v>I-0013.0011</v>
      </c>
      <c r="C138" s="65" t="s">
        <v>1007</v>
      </c>
      <c r="D138" s="59" t="s">
        <v>5</v>
      </c>
    </row>
    <row r="139" spans="1:4" x14ac:dyDescent="0.25">
      <c r="A139" s="61" t="s">
        <v>939</v>
      </c>
      <c r="B139" s="64" t="str">
        <f t="shared" si="7"/>
        <v>I-0013.0012</v>
      </c>
      <c r="C139" s="65" t="s">
        <v>1008</v>
      </c>
      <c r="D139" s="59" t="s">
        <v>5</v>
      </c>
    </row>
    <row r="140" spans="1:4" x14ac:dyDescent="0.25">
      <c r="A140" s="61" t="s">
        <v>997</v>
      </c>
      <c r="B140" s="64" t="str">
        <f t="shared" si="7"/>
        <v>I-0013.0013</v>
      </c>
      <c r="C140" s="65" t="s">
        <v>1009</v>
      </c>
      <c r="D140" s="59" t="s">
        <v>5</v>
      </c>
    </row>
    <row r="141" spans="1:4" x14ac:dyDescent="0.25">
      <c r="B141" s="59"/>
      <c r="C141" s="65"/>
      <c r="D141" s="59"/>
    </row>
    <row r="142" spans="1:4" x14ac:dyDescent="0.25">
      <c r="B142" s="59"/>
      <c r="C142" s="65"/>
      <c r="D142" s="59"/>
    </row>
    <row r="143" spans="1:4" x14ac:dyDescent="0.25">
      <c r="A143" s="61" t="s">
        <v>1014</v>
      </c>
      <c r="B143" s="62" t="str">
        <f xml:space="preserve"> CONCATENATE("I-",A143)</f>
        <v>I-0015</v>
      </c>
      <c r="C143" s="63" t="s">
        <v>1011</v>
      </c>
      <c r="D143" s="59"/>
    </row>
    <row r="144" spans="1:4" x14ac:dyDescent="0.25">
      <c r="A144" s="61" t="s">
        <v>903</v>
      </c>
      <c r="B144" s="64" t="str">
        <f>CONCATENATE($B$143,".",A144)</f>
        <v>I-0015.0001</v>
      </c>
      <c r="C144" s="65" t="s">
        <v>1012</v>
      </c>
      <c r="D144" s="59" t="s">
        <v>5</v>
      </c>
    </row>
    <row r="145" spans="1:4" x14ac:dyDescent="0.25">
      <c r="A145" s="61" t="s">
        <v>906</v>
      </c>
      <c r="B145" s="64" t="str">
        <f>CONCATENATE($B$143,".",A145)</f>
        <v>I-0015.0002</v>
      </c>
      <c r="C145" s="65" t="s">
        <v>1013</v>
      </c>
      <c r="D145" s="59" t="s">
        <v>5</v>
      </c>
    </row>
    <row r="146" spans="1:4" x14ac:dyDescent="0.25">
      <c r="B146" s="67"/>
      <c r="C146" s="65"/>
      <c r="D146" s="59"/>
    </row>
    <row r="147" spans="1:4" x14ac:dyDescent="0.25">
      <c r="B147" s="66"/>
      <c r="C147" s="66"/>
      <c r="D147" s="59"/>
    </row>
    <row r="148" spans="1:4" x14ac:dyDescent="0.25">
      <c r="A148" s="61" t="s">
        <v>1026</v>
      </c>
      <c r="B148" s="62" t="str">
        <f xml:space="preserve"> CONCATENATE("I-",A148)</f>
        <v>I-0016</v>
      </c>
      <c r="C148" s="63" t="s">
        <v>1015</v>
      </c>
      <c r="D148" s="59"/>
    </row>
    <row r="149" spans="1:4" x14ac:dyDescent="0.25">
      <c r="A149" s="61" t="s">
        <v>903</v>
      </c>
      <c r="B149" s="64" t="str">
        <f>CONCATENATE($B$148,".",A149)</f>
        <v>I-0016.0001</v>
      </c>
      <c r="C149" s="65" t="s">
        <v>1016</v>
      </c>
      <c r="D149" s="59" t="s">
        <v>5</v>
      </c>
    </row>
    <row r="150" spans="1:4" x14ac:dyDescent="0.25">
      <c r="A150" s="61" t="s">
        <v>906</v>
      </c>
      <c r="B150" s="64" t="str">
        <f t="shared" ref="B150:B160" si="8">CONCATENATE($B$148,".",A150)</f>
        <v>I-0016.0002</v>
      </c>
      <c r="C150" s="65" t="s">
        <v>1017</v>
      </c>
      <c r="D150" s="59" t="s">
        <v>5</v>
      </c>
    </row>
    <row r="151" spans="1:4" x14ac:dyDescent="0.25">
      <c r="A151" s="61" t="s">
        <v>908</v>
      </c>
      <c r="B151" s="64" t="str">
        <f t="shared" si="8"/>
        <v>I-0016.0003</v>
      </c>
      <c r="C151" s="65" t="s">
        <v>1018</v>
      </c>
      <c r="D151" s="59" t="s">
        <v>5</v>
      </c>
    </row>
    <row r="152" spans="1:4" x14ac:dyDescent="0.25">
      <c r="A152" s="61"/>
      <c r="B152" s="64"/>
      <c r="C152" s="66"/>
      <c r="D152" s="59"/>
    </row>
    <row r="153" spans="1:4" x14ac:dyDescent="0.25">
      <c r="A153" s="61" t="s">
        <v>936</v>
      </c>
      <c r="B153" s="64" t="str">
        <f t="shared" si="8"/>
        <v>I-0016.0010</v>
      </c>
      <c r="C153" s="65" t="s">
        <v>1019</v>
      </c>
      <c r="D153" s="59" t="s">
        <v>5</v>
      </c>
    </row>
    <row r="154" spans="1:4" x14ac:dyDescent="0.25">
      <c r="A154" s="61" t="s">
        <v>937</v>
      </c>
      <c r="B154" s="64" t="str">
        <f t="shared" si="8"/>
        <v>I-0016.0011</v>
      </c>
      <c r="C154" s="65" t="s">
        <v>1020</v>
      </c>
      <c r="D154" s="59" t="s">
        <v>5</v>
      </c>
    </row>
    <row r="155" spans="1:4" x14ac:dyDescent="0.25">
      <c r="B155" s="64"/>
      <c r="C155" s="65"/>
      <c r="D155" s="59"/>
    </row>
    <row r="156" spans="1:4" x14ac:dyDescent="0.25">
      <c r="A156" s="61" t="s">
        <v>963</v>
      </c>
      <c r="B156" s="64" t="str">
        <f t="shared" si="8"/>
        <v>I-0016.0020</v>
      </c>
      <c r="C156" s="65" t="s">
        <v>1021</v>
      </c>
      <c r="D156" s="59" t="s">
        <v>5</v>
      </c>
    </row>
    <row r="157" spans="1:4" x14ac:dyDescent="0.25">
      <c r="A157" s="61" t="s">
        <v>948</v>
      </c>
      <c r="B157" s="64" t="str">
        <f t="shared" si="8"/>
        <v>I-0016.0021</v>
      </c>
      <c r="C157" s="65" t="s">
        <v>1022</v>
      </c>
      <c r="D157" s="59" t="s">
        <v>5</v>
      </c>
    </row>
    <row r="158" spans="1:4" x14ac:dyDescent="0.25">
      <c r="A158" s="61" t="s">
        <v>950</v>
      </c>
      <c r="B158" s="64" t="str">
        <f t="shared" si="8"/>
        <v>I-0016.0022</v>
      </c>
      <c r="C158" s="65" t="s">
        <v>1023</v>
      </c>
      <c r="D158" s="59" t="s">
        <v>5</v>
      </c>
    </row>
    <row r="159" spans="1:4" x14ac:dyDescent="0.25">
      <c r="B159" s="64"/>
      <c r="C159" s="65"/>
      <c r="D159" s="62"/>
    </row>
    <row r="160" spans="1:4" x14ac:dyDescent="0.25">
      <c r="A160" s="61" t="s">
        <v>1024</v>
      </c>
      <c r="B160" s="64" t="str">
        <f t="shared" si="8"/>
        <v>I-0016.0030</v>
      </c>
      <c r="C160" s="65" t="s">
        <v>1025</v>
      </c>
      <c r="D160" s="59" t="s">
        <v>5</v>
      </c>
    </row>
    <row r="161" spans="1:4" x14ac:dyDescent="0.25">
      <c r="B161" s="59"/>
      <c r="C161" s="65"/>
      <c r="D161" s="59"/>
    </row>
    <row r="162" spans="1:4" x14ac:dyDescent="0.25">
      <c r="B162" s="59"/>
      <c r="C162" s="65"/>
      <c r="D162" s="59"/>
    </row>
    <row r="163" spans="1:4" x14ac:dyDescent="0.25">
      <c r="A163" s="61" t="s">
        <v>1036</v>
      </c>
      <c r="B163" s="62" t="str">
        <f xml:space="preserve"> CONCATENATE("I-",A163)</f>
        <v>I-0017</v>
      </c>
      <c r="C163" s="63" t="s">
        <v>1027</v>
      </c>
      <c r="D163" s="59"/>
    </row>
    <row r="164" spans="1:4" x14ac:dyDescent="0.25">
      <c r="A164" s="61" t="s">
        <v>903</v>
      </c>
      <c r="B164" s="64" t="str">
        <f>CONCATENATE($B$163,".",A164)</f>
        <v>I-0017.0001</v>
      </c>
      <c r="C164" s="65" t="s">
        <v>1028</v>
      </c>
      <c r="D164" s="59" t="s">
        <v>5</v>
      </c>
    </row>
    <row r="165" spans="1:4" x14ac:dyDescent="0.25">
      <c r="A165" s="61" t="s">
        <v>906</v>
      </c>
      <c r="B165" s="64" t="str">
        <f t="shared" ref="B165:B172" si="9">CONCATENATE($B$163,".",A165)</f>
        <v>I-0017.0002</v>
      </c>
      <c r="C165" s="65" t="s">
        <v>1029</v>
      </c>
      <c r="D165" s="59" t="s">
        <v>5</v>
      </c>
    </row>
    <row r="166" spans="1:4" x14ac:dyDescent="0.25">
      <c r="A166" s="61" t="s">
        <v>908</v>
      </c>
      <c r="B166" s="64" t="str">
        <f t="shared" si="9"/>
        <v>I-0017.0003</v>
      </c>
      <c r="C166" s="65" t="s">
        <v>1030</v>
      </c>
      <c r="D166" s="59" t="s">
        <v>5</v>
      </c>
    </row>
    <row r="167" spans="1:4" x14ac:dyDescent="0.25">
      <c r="A167" s="61" t="s">
        <v>910</v>
      </c>
      <c r="B167" s="64" t="str">
        <f t="shared" si="9"/>
        <v>I-0017.0004</v>
      </c>
      <c r="C167" s="65" t="s">
        <v>1031</v>
      </c>
      <c r="D167" s="59" t="s">
        <v>5</v>
      </c>
    </row>
    <row r="168" spans="1:4" x14ac:dyDescent="0.25">
      <c r="A168" s="61"/>
      <c r="B168" s="64"/>
      <c r="C168" s="65"/>
      <c r="D168" s="59"/>
    </row>
    <row r="169" spans="1:4" x14ac:dyDescent="0.25">
      <c r="A169" s="61" t="s">
        <v>936</v>
      </c>
      <c r="B169" s="64" t="str">
        <f t="shared" si="9"/>
        <v>I-0017.0010</v>
      </c>
      <c r="C169" s="65" t="s">
        <v>1032</v>
      </c>
      <c r="D169" s="59" t="s">
        <v>5</v>
      </c>
    </row>
    <row r="170" spans="1:4" x14ac:dyDescent="0.25">
      <c r="A170" s="61" t="s">
        <v>937</v>
      </c>
      <c r="B170" s="64" t="str">
        <f t="shared" si="9"/>
        <v>I-0017.0011</v>
      </c>
      <c r="C170" s="65" t="s">
        <v>1033</v>
      </c>
      <c r="D170" s="59" t="s">
        <v>5</v>
      </c>
    </row>
    <row r="171" spans="1:4" x14ac:dyDescent="0.25">
      <c r="A171" s="61" t="s">
        <v>939</v>
      </c>
      <c r="B171" s="64" t="str">
        <f t="shared" si="9"/>
        <v>I-0017.0012</v>
      </c>
      <c r="C171" s="65" t="s">
        <v>1034</v>
      </c>
      <c r="D171" s="59" t="s">
        <v>5</v>
      </c>
    </row>
    <row r="172" spans="1:4" x14ac:dyDescent="0.25">
      <c r="A172" s="61" t="s">
        <v>997</v>
      </c>
      <c r="B172" s="64" t="str">
        <f t="shared" si="9"/>
        <v>I-0017.0013</v>
      </c>
      <c r="C172" s="65" t="s">
        <v>1035</v>
      </c>
      <c r="D172" s="59" t="s">
        <v>5</v>
      </c>
    </row>
    <row r="173" spans="1:4" x14ac:dyDescent="0.25">
      <c r="A173" s="60"/>
      <c r="B173" s="59"/>
      <c r="C173" s="65"/>
      <c r="D173" s="59"/>
    </row>
    <row r="174" spans="1:4" x14ac:dyDescent="0.25">
      <c r="B174" s="59"/>
      <c r="C174" s="65"/>
      <c r="D174" s="59"/>
    </row>
    <row r="175" spans="1:4" x14ac:dyDescent="0.25">
      <c r="A175" s="61" t="s">
        <v>1047</v>
      </c>
      <c r="B175" s="62" t="str">
        <f xml:space="preserve"> CONCATENATE("I-",A175)</f>
        <v>I-0018</v>
      </c>
      <c r="C175" s="63" t="s">
        <v>1037</v>
      </c>
      <c r="D175" s="59"/>
    </row>
    <row r="176" spans="1:4" x14ac:dyDescent="0.25">
      <c r="A176" s="61" t="s">
        <v>903</v>
      </c>
      <c r="B176" s="64" t="str">
        <f>CONCATENATE($B$175,".",A176)</f>
        <v>I-0018.0001</v>
      </c>
      <c r="C176" s="65" t="s">
        <v>1038</v>
      </c>
      <c r="D176" s="59" t="s">
        <v>3</v>
      </c>
    </row>
    <row r="177" spans="1:4" x14ac:dyDescent="0.25">
      <c r="A177" s="61" t="s">
        <v>906</v>
      </c>
      <c r="B177" s="64" t="str">
        <f t="shared" ref="B177:B184" si="10">CONCATENATE($B$175,".",A177)</f>
        <v>I-0018.0002</v>
      </c>
      <c r="C177" s="65" t="s">
        <v>1039</v>
      </c>
      <c r="D177" s="59" t="s">
        <v>3</v>
      </c>
    </row>
    <row r="178" spans="1:4" x14ac:dyDescent="0.25">
      <c r="A178" s="61" t="s">
        <v>908</v>
      </c>
      <c r="B178" s="64" t="str">
        <f t="shared" si="10"/>
        <v>I-0018.0003</v>
      </c>
      <c r="C178" s="65" t="s">
        <v>1040</v>
      </c>
      <c r="D178" s="59" t="s">
        <v>3</v>
      </c>
    </row>
    <row r="179" spans="1:4" x14ac:dyDescent="0.25">
      <c r="A179" s="61" t="s">
        <v>910</v>
      </c>
      <c r="B179" s="64" t="str">
        <f t="shared" si="10"/>
        <v>I-0018.0004</v>
      </c>
      <c r="C179" s="65" t="s">
        <v>1041</v>
      </c>
      <c r="D179" s="59" t="s">
        <v>1100</v>
      </c>
    </row>
    <row r="180" spans="1:4" x14ac:dyDescent="0.25">
      <c r="A180" s="61" t="s">
        <v>912</v>
      </c>
      <c r="B180" s="64" t="str">
        <f t="shared" si="10"/>
        <v>I-0018.0005</v>
      </c>
      <c r="C180" s="65" t="s">
        <v>1042</v>
      </c>
      <c r="D180" s="59" t="s">
        <v>1100</v>
      </c>
    </row>
    <row r="181" spans="1:4" x14ac:dyDescent="0.25">
      <c r="A181" s="61" t="s">
        <v>914</v>
      </c>
      <c r="B181" s="64" t="str">
        <f t="shared" si="10"/>
        <v>I-0018.0006</v>
      </c>
      <c r="C181" s="65" t="s">
        <v>1043</v>
      </c>
      <c r="D181" s="59" t="s">
        <v>5</v>
      </c>
    </row>
    <row r="182" spans="1:4" x14ac:dyDescent="0.25">
      <c r="A182" s="61" t="s">
        <v>916</v>
      </c>
      <c r="B182" s="64" t="str">
        <f t="shared" si="10"/>
        <v>I-0018.0007</v>
      </c>
      <c r="C182" s="65" t="s">
        <v>1044</v>
      </c>
      <c r="D182" s="59" t="s">
        <v>5</v>
      </c>
    </row>
    <row r="183" spans="1:4" x14ac:dyDescent="0.25">
      <c r="A183" s="61" t="s">
        <v>932</v>
      </c>
      <c r="B183" s="64" t="str">
        <f t="shared" si="10"/>
        <v>I-0018.0008</v>
      </c>
      <c r="C183" s="65" t="s">
        <v>1045</v>
      </c>
      <c r="D183" s="59" t="s">
        <v>5</v>
      </c>
    </row>
    <row r="184" spans="1:4" x14ac:dyDescent="0.25">
      <c r="A184" s="61" t="s">
        <v>934</v>
      </c>
      <c r="B184" s="64" t="str">
        <f t="shared" si="10"/>
        <v>I-0018.0009</v>
      </c>
      <c r="C184" s="65" t="s">
        <v>1046</v>
      </c>
      <c r="D184" s="59" t="s">
        <v>3</v>
      </c>
    </row>
    <row r="185" spans="1:4" x14ac:dyDescent="0.25">
      <c r="B185" s="59"/>
      <c r="C185" s="65"/>
      <c r="D185" s="62"/>
    </row>
    <row r="186" spans="1:4" x14ac:dyDescent="0.25">
      <c r="B186" s="59"/>
      <c r="C186" s="65"/>
      <c r="D186" s="59"/>
    </row>
    <row r="187" spans="1:4" x14ac:dyDescent="0.25">
      <c r="A187" s="61" t="s">
        <v>1054</v>
      </c>
      <c r="B187" s="62" t="str">
        <f xml:space="preserve"> CONCATENATE("I-",A187)</f>
        <v>I-0019</v>
      </c>
      <c r="C187" s="63" t="s">
        <v>1055</v>
      </c>
      <c r="D187" s="59"/>
    </row>
    <row r="188" spans="1:4" x14ac:dyDescent="0.25">
      <c r="A188" s="61" t="s">
        <v>903</v>
      </c>
      <c r="B188" s="64" t="str">
        <f t="shared" ref="B188:B193" si="11">CONCATENATE($B$187,".",A188)</f>
        <v>I-0019.0001</v>
      </c>
      <c r="C188" s="65" t="s">
        <v>342</v>
      </c>
      <c r="D188" s="59" t="s">
        <v>3</v>
      </c>
    </row>
    <row r="189" spans="1:4" x14ac:dyDescent="0.25">
      <c r="A189" s="61" t="s">
        <v>906</v>
      </c>
      <c r="B189" s="64" t="str">
        <f t="shared" si="11"/>
        <v>I-0019.0002</v>
      </c>
      <c r="C189" s="65" t="s">
        <v>1056</v>
      </c>
      <c r="D189" s="59" t="s">
        <v>3</v>
      </c>
    </row>
    <row r="190" spans="1:4" x14ac:dyDescent="0.25">
      <c r="A190" s="61" t="s">
        <v>908</v>
      </c>
      <c r="B190" s="64" t="str">
        <f t="shared" si="11"/>
        <v>I-0019.0003</v>
      </c>
      <c r="C190" s="65" t="s">
        <v>1057</v>
      </c>
      <c r="D190" s="68" t="s">
        <v>3</v>
      </c>
    </row>
    <row r="191" spans="1:4" x14ac:dyDescent="0.25">
      <c r="A191" s="61" t="s">
        <v>910</v>
      </c>
      <c r="B191" s="64" t="str">
        <f t="shared" si="11"/>
        <v>I-0019.0004</v>
      </c>
      <c r="C191" s="65" t="s">
        <v>1058</v>
      </c>
      <c r="D191" s="68" t="s">
        <v>3</v>
      </c>
    </row>
    <row r="192" spans="1:4" x14ac:dyDescent="0.25">
      <c r="A192" s="61" t="s">
        <v>912</v>
      </c>
      <c r="B192" s="64" t="str">
        <f t="shared" si="11"/>
        <v>I-0019.0005</v>
      </c>
      <c r="C192" s="65" t="s">
        <v>1059</v>
      </c>
      <c r="D192" s="68" t="s">
        <v>3</v>
      </c>
    </row>
    <row r="193" spans="1:4" x14ac:dyDescent="0.25">
      <c r="A193" s="61" t="s">
        <v>914</v>
      </c>
      <c r="B193" s="64" t="str">
        <f t="shared" si="11"/>
        <v>I-0019.0006</v>
      </c>
      <c r="C193" s="65" t="s">
        <v>1060</v>
      </c>
      <c r="D193" s="68" t="s">
        <v>3</v>
      </c>
    </row>
    <row r="194" spans="1:4" x14ac:dyDescent="0.25">
      <c r="A194" s="61"/>
      <c r="B194" s="59"/>
      <c r="C194" s="65"/>
      <c r="D194" s="68"/>
    </row>
    <row r="195" spans="1:4" x14ac:dyDescent="0.25">
      <c r="A195" s="61"/>
      <c r="B195" s="59"/>
      <c r="C195" s="65"/>
      <c r="D195" s="68"/>
    </row>
    <row r="196" spans="1:4" x14ac:dyDescent="0.25">
      <c r="A196" s="61"/>
      <c r="B196" s="59"/>
      <c r="D196" s="62"/>
    </row>
    <row r="197" spans="1:4" x14ac:dyDescent="0.25">
      <c r="A197" s="61" t="s">
        <v>936</v>
      </c>
      <c r="B197" s="64" t="str">
        <f>CONCATENATE($B$187,".",A197)</f>
        <v>I-0019.0010</v>
      </c>
      <c r="C197" s="65" t="s">
        <v>1061</v>
      </c>
      <c r="D197" s="68" t="s">
        <v>3</v>
      </c>
    </row>
    <row r="198" spans="1:4" x14ac:dyDescent="0.25">
      <c r="A198" s="61" t="s">
        <v>937</v>
      </c>
      <c r="B198" s="64" t="str">
        <f>CONCATENATE($B$187,".",A198)</f>
        <v>I-0019.0011</v>
      </c>
      <c r="C198" s="65" t="s">
        <v>1062</v>
      </c>
      <c r="D198" s="68" t="s">
        <v>3</v>
      </c>
    </row>
    <row r="199" spans="1:4" x14ac:dyDescent="0.25">
      <c r="A199" s="61" t="s">
        <v>939</v>
      </c>
      <c r="B199" s="64" t="str">
        <f>CONCATENATE($B$187,".",A199)</f>
        <v>I-0019.0012</v>
      </c>
      <c r="C199" s="65" t="s">
        <v>1063</v>
      </c>
      <c r="D199" s="68" t="s">
        <v>3</v>
      </c>
    </row>
    <row r="200" spans="1:4" x14ac:dyDescent="0.25">
      <c r="A200" s="61" t="s">
        <v>997</v>
      </c>
      <c r="B200" s="64" t="str">
        <f>CONCATENATE($B$187,".",A200)</f>
        <v>I-0019.0013</v>
      </c>
      <c r="C200" s="65" t="s">
        <v>1064</v>
      </c>
      <c r="D200" s="68" t="s">
        <v>3</v>
      </c>
    </row>
    <row r="201" spans="1:4" x14ac:dyDescent="0.25">
      <c r="A201" s="61" t="s">
        <v>1010</v>
      </c>
      <c r="B201" s="64" t="str">
        <f>CONCATENATE($B$187,".",A201)</f>
        <v>I-0019.0014</v>
      </c>
      <c r="C201" s="65" t="s">
        <v>1065</v>
      </c>
      <c r="D201" s="68" t="s">
        <v>3</v>
      </c>
    </row>
    <row r="202" spans="1:4" x14ac:dyDescent="0.25">
      <c r="A202" s="60"/>
      <c r="B202" s="59"/>
      <c r="C202" s="65"/>
      <c r="D202" s="62"/>
    </row>
    <row r="203" spans="1:4" x14ac:dyDescent="0.25">
      <c r="A203" s="61" t="s">
        <v>963</v>
      </c>
      <c r="B203" s="64" t="str">
        <f>CONCATENATE($B$187,".",A203)</f>
        <v>I-0019.0020</v>
      </c>
      <c r="C203" s="65" t="s">
        <v>345</v>
      </c>
      <c r="D203" s="68" t="s">
        <v>3</v>
      </c>
    </row>
    <row r="204" spans="1:4" x14ac:dyDescent="0.25">
      <c r="A204" s="61" t="s">
        <v>948</v>
      </c>
      <c r="B204" s="64" t="str">
        <f>CONCATENATE($B$187,".",A204)</f>
        <v>I-0019.0021</v>
      </c>
      <c r="C204" s="65" t="s">
        <v>1066</v>
      </c>
      <c r="D204" s="68" t="s">
        <v>3</v>
      </c>
    </row>
    <row r="205" spans="1:4" x14ac:dyDescent="0.25">
      <c r="A205" s="61" t="s">
        <v>950</v>
      </c>
      <c r="B205" s="64" t="str">
        <f>CONCATENATE($B$187,".",A205)</f>
        <v>I-0019.0022</v>
      </c>
      <c r="C205" s="65" t="s">
        <v>1067</v>
      </c>
      <c r="D205" s="68" t="s">
        <v>3</v>
      </c>
    </row>
    <row r="206" spans="1:4" x14ac:dyDescent="0.25">
      <c r="A206" s="61"/>
      <c r="B206" s="66"/>
      <c r="C206" s="66"/>
      <c r="D206" s="62"/>
    </row>
    <row r="207" spans="1:4" x14ac:dyDescent="0.25">
      <c r="A207" s="61" t="s">
        <v>1024</v>
      </c>
      <c r="B207" s="64" t="str">
        <f>CONCATENATE($B$187,".",A207)</f>
        <v>I-0019.0030</v>
      </c>
      <c r="C207" s="65" t="s">
        <v>1068</v>
      </c>
      <c r="D207" s="68" t="s">
        <v>3</v>
      </c>
    </row>
    <row r="208" spans="1:4" x14ac:dyDescent="0.25">
      <c r="A208" s="61"/>
      <c r="B208" s="66"/>
      <c r="C208" s="66"/>
      <c r="D208" s="59"/>
    </row>
    <row r="209" spans="1:4" x14ac:dyDescent="0.25">
      <c r="A209" s="61" t="s">
        <v>1069</v>
      </c>
      <c r="B209" s="64" t="str">
        <f>CONCATENATE($B$187,".",A209)</f>
        <v>I-0019.0040</v>
      </c>
      <c r="C209" s="65" t="s">
        <v>1070</v>
      </c>
      <c r="D209" s="68" t="s">
        <v>3</v>
      </c>
    </row>
    <row r="210" spans="1:4" x14ac:dyDescent="0.25">
      <c r="A210" s="61"/>
      <c r="B210" s="59"/>
      <c r="C210" s="65"/>
      <c r="D210" s="59"/>
    </row>
    <row r="211" spans="1:4" x14ac:dyDescent="0.25">
      <c r="A211" s="61" t="s">
        <v>1071</v>
      </c>
      <c r="B211" s="64" t="str">
        <f>CONCATENATE($B$187,".",A211)</f>
        <v>I-0019.0050</v>
      </c>
      <c r="C211" s="65" t="s">
        <v>1072</v>
      </c>
      <c r="D211" s="68" t="s">
        <v>3</v>
      </c>
    </row>
    <row r="212" spans="1:4" x14ac:dyDescent="0.25">
      <c r="A212" s="61"/>
      <c r="B212" s="59"/>
      <c r="C212" s="65"/>
      <c r="D212" s="59"/>
    </row>
    <row r="213" spans="1:4" x14ac:dyDescent="0.25">
      <c r="A213" s="61" t="s">
        <v>1073</v>
      </c>
      <c r="B213" s="64" t="str">
        <f>CONCATENATE($B$187,".",A213)</f>
        <v>I-0019.0060</v>
      </c>
      <c r="C213" s="65" t="s">
        <v>1074</v>
      </c>
      <c r="D213" s="68" t="s">
        <v>3</v>
      </c>
    </row>
    <row r="214" spans="1:4" x14ac:dyDescent="0.25">
      <c r="B214" s="59"/>
      <c r="C214" s="65"/>
      <c r="D214" s="59"/>
    </row>
    <row r="215" spans="1:4" x14ac:dyDescent="0.25">
      <c r="B215" s="59"/>
      <c r="C215" s="65"/>
      <c r="D215" s="62"/>
    </row>
    <row r="216" spans="1:4" x14ac:dyDescent="0.25">
      <c r="A216" s="61" t="s">
        <v>963</v>
      </c>
      <c r="B216" s="62" t="str">
        <f xml:space="preserve"> CONCATENATE("I-",A216)</f>
        <v>I-0020</v>
      </c>
      <c r="C216" s="63" t="s">
        <v>1075</v>
      </c>
      <c r="D216" s="59"/>
    </row>
    <row r="217" spans="1:4" x14ac:dyDescent="0.25">
      <c r="A217" s="61" t="s">
        <v>903</v>
      </c>
      <c r="B217" s="64" t="str">
        <f>CONCATENATE($B$216,".",A217)</f>
        <v>I-0020.0001</v>
      </c>
      <c r="C217" s="65" t="s">
        <v>1076</v>
      </c>
      <c r="D217" s="59" t="s">
        <v>5</v>
      </c>
    </row>
    <row r="218" spans="1:4" x14ac:dyDescent="0.25">
      <c r="A218" s="61" t="s">
        <v>906</v>
      </c>
      <c r="B218" s="64" t="str">
        <f>CONCATENATE($B$216,".",A218)</f>
        <v>I-0020.0002</v>
      </c>
      <c r="C218" s="65" t="s">
        <v>1077</v>
      </c>
      <c r="D218" s="59" t="s">
        <v>3</v>
      </c>
    </row>
    <row r="219" spans="1:4" x14ac:dyDescent="0.25">
      <c r="A219" s="61" t="s">
        <v>908</v>
      </c>
      <c r="B219" s="64" t="str">
        <f>CONCATENATE($B$216,".",A219)</f>
        <v>I-0020.0003</v>
      </c>
      <c r="C219" s="65" t="s">
        <v>1078</v>
      </c>
      <c r="D219" s="59" t="s">
        <v>3</v>
      </c>
    </row>
    <row r="220" spans="1:4" x14ac:dyDescent="0.25">
      <c r="A220" s="61" t="s">
        <v>910</v>
      </c>
      <c r="B220" s="64" t="str">
        <f>CONCATENATE($B$216,".",A220)</f>
        <v>I-0020.0004</v>
      </c>
      <c r="C220" s="65" t="s">
        <v>1079</v>
      </c>
      <c r="D220" s="59" t="s">
        <v>5</v>
      </c>
    </row>
    <row r="221" spans="1:4" x14ac:dyDescent="0.25">
      <c r="A221" s="61" t="s">
        <v>912</v>
      </c>
      <c r="B221" s="64" t="str">
        <f>CONCATENATE($B$216,".",A221)</f>
        <v>I-0020.0005</v>
      </c>
      <c r="C221" s="65" t="s">
        <v>1080</v>
      </c>
      <c r="D221" s="59" t="s">
        <v>1100</v>
      </c>
    </row>
    <row r="222" spans="1:4" x14ac:dyDescent="0.25">
      <c r="B222" s="59"/>
      <c r="C222" s="65"/>
      <c r="D222" s="59"/>
    </row>
    <row r="223" spans="1:4" x14ac:dyDescent="0.25">
      <c r="A223" s="61"/>
      <c r="B223" s="59"/>
      <c r="C223" s="65"/>
      <c r="D223" s="59"/>
    </row>
    <row r="224" spans="1:4" x14ac:dyDescent="0.25">
      <c r="A224" s="61" t="s">
        <v>950</v>
      </c>
      <c r="B224" s="62" t="str">
        <f xml:space="preserve"> CONCATENATE("I-",A224)</f>
        <v>I-0022</v>
      </c>
      <c r="C224" s="63" t="s">
        <v>1081</v>
      </c>
      <c r="D224" s="62"/>
    </row>
    <row r="225" spans="1:4" x14ac:dyDescent="0.25">
      <c r="A225" s="61" t="s">
        <v>903</v>
      </c>
      <c r="B225" s="64" t="str">
        <f>CONCATENATE($B$224,".",A225)</f>
        <v>I-0022.0001</v>
      </c>
      <c r="C225" s="65" t="s">
        <v>1082</v>
      </c>
      <c r="D225" s="59" t="s">
        <v>3</v>
      </c>
    </row>
    <row r="226" spans="1:4" x14ac:dyDescent="0.25">
      <c r="A226" s="61" t="s">
        <v>906</v>
      </c>
      <c r="B226" s="64" t="str">
        <f t="shared" ref="B226:B232" si="12">CONCATENATE($B$224,".",A226)</f>
        <v>I-0022.0002</v>
      </c>
      <c r="C226" s="65" t="s">
        <v>1083</v>
      </c>
      <c r="D226" s="59" t="s">
        <v>3</v>
      </c>
    </row>
    <row r="227" spans="1:4" x14ac:dyDescent="0.25">
      <c r="A227" s="61" t="s">
        <v>908</v>
      </c>
      <c r="B227" s="64" t="str">
        <f t="shared" si="12"/>
        <v>I-0022.0003</v>
      </c>
      <c r="C227" s="65" t="s">
        <v>1084</v>
      </c>
      <c r="D227" s="59" t="s">
        <v>3</v>
      </c>
    </row>
    <row r="228" spans="1:4" x14ac:dyDescent="0.25">
      <c r="A228" s="61" t="s">
        <v>910</v>
      </c>
      <c r="B228" s="64" t="str">
        <f t="shared" si="12"/>
        <v>I-0022.0004</v>
      </c>
      <c r="C228" s="65" t="s">
        <v>1085</v>
      </c>
      <c r="D228" s="59" t="s">
        <v>3</v>
      </c>
    </row>
    <row r="229" spans="1:4" x14ac:dyDescent="0.25">
      <c r="A229" s="61" t="s">
        <v>912</v>
      </c>
      <c r="B229" s="64" t="str">
        <f t="shared" si="12"/>
        <v>I-0022.0005</v>
      </c>
      <c r="C229" s="65" t="s">
        <v>1086</v>
      </c>
      <c r="D229" s="59" t="s">
        <v>3</v>
      </c>
    </row>
    <row r="230" spans="1:4" x14ac:dyDescent="0.25">
      <c r="A230" s="61" t="s">
        <v>914</v>
      </c>
      <c r="B230" s="64" t="str">
        <f t="shared" si="12"/>
        <v>I-0022.0006</v>
      </c>
      <c r="C230" s="65" t="s">
        <v>1087</v>
      </c>
      <c r="D230" s="59" t="s">
        <v>3</v>
      </c>
    </row>
    <row r="231" spans="1:4" x14ac:dyDescent="0.25">
      <c r="A231" s="61" t="s">
        <v>916</v>
      </c>
      <c r="B231" s="64" t="str">
        <f t="shared" si="12"/>
        <v>I-0022.0007</v>
      </c>
      <c r="C231" s="65" t="s">
        <v>1088</v>
      </c>
      <c r="D231" s="59" t="s">
        <v>3</v>
      </c>
    </row>
    <row r="232" spans="1:4" x14ac:dyDescent="0.25">
      <c r="A232" s="61" t="s">
        <v>932</v>
      </c>
      <c r="B232" s="64" t="str">
        <f t="shared" si="12"/>
        <v>I-0022.0008</v>
      </c>
      <c r="C232" s="65" t="s">
        <v>1088</v>
      </c>
      <c r="D232" s="59" t="s">
        <v>3</v>
      </c>
    </row>
    <row r="233" spans="1:4" x14ac:dyDescent="0.25">
      <c r="B233" s="59"/>
      <c r="C233" s="65"/>
      <c r="D233" s="59"/>
    </row>
    <row r="234" spans="1:4" x14ac:dyDescent="0.25">
      <c r="B234" s="59"/>
      <c r="C234" s="65"/>
      <c r="D234" s="62"/>
    </row>
    <row r="235" spans="1:4" x14ac:dyDescent="0.25">
      <c r="A235" s="61"/>
    </row>
    <row r="236" spans="1:4" x14ac:dyDescent="0.25">
      <c r="A236" s="61"/>
    </row>
    <row r="237" spans="1:4" x14ac:dyDescent="0.25">
      <c r="A237" s="61"/>
    </row>
    <row r="238" spans="1:4" x14ac:dyDescent="0.25">
      <c r="A238" s="61"/>
    </row>
    <row r="239" spans="1:4" x14ac:dyDescent="0.25">
      <c r="A239" s="61" t="s">
        <v>1089</v>
      </c>
      <c r="B239" s="62" t="str">
        <f xml:space="preserve"> CONCATENATE("I-",A239)</f>
        <v>I-0024</v>
      </c>
      <c r="C239" s="63" t="s">
        <v>1090</v>
      </c>
      <c r="D239" s="62"/>
    </row>
    <row r="240" spans="1:4" x14ac:dyDescent="0.25">
      <c r="A240" s="61" t="s">
        <v>903</v>
      </c>
      <c r="B240" s="64" t="str">
        <f>CONCATENATE($B$239,".",A240)</f>
        <v>I-0024.0001</v>
      </c>
      <c r="C240" s="65" t="s">
        <v>1091</v>
      </c>
      <c r="D240" s="59" t="s">
        <v>724</v>
      </c>
    </row>
    <row r="241" spans="1:4" x14ac:dyDescent="0.25">
      <c r="A241" s="61" t="s">
        <v>906</v>
      </c>
      <c r="B241" s="64" t="str">
        <f>CONCATENATE($B$239,".",A241)</f>
        <v>I-0024.0002</v>
      </c>
      <c r="C241" s="65" t="s">
        <v>1092</v>
      </c>
      <c r="D241" s="59" t="s">
        <v>724</v>
      </c>
    </row>
    <row r="242" spans="1:4" x14ac:dyDescent="0.25">
      <c r="A242" s="61" t="s">
        <v>908</v>
      </c>
      <c r="B242" s="64" t="str">
        <f>CONCATENATE($B$239,".",A242)</f>
        <v>I-0024.0003</v>
      </c>
      <c r="C242" s="65" t="s">
        <v>1093</v>
      </c>
      <c r="D242" s="59" t="s">
        <v>724</v>
      </c>
    </row>
    <row r="243" spans="1:4" x14ac:dyDescent="0.25">
      <c r="A243" s="61" t="s">
        <v>910</v>
      </c>
      <c r="B243" s="64" t="str">
        <f>CONCATENATE($B$239,".",A243)</f>
        <v>I-0024.0004</v>
      </c>
      <c r="C243" s="65" t="s">
        <v>1094</v>
      </c>
      <c r="D243" s="59" t="s">
        <v>724</v>
      </c>
    </row>
    <row r="244" spans="1:4" x14ac:dyDescent="0.25">
      <c r="A244" s="61"/>
      <c r="B244" s="59"/>
      <c r="C244" s="65"/>
      <c r="D244" s="59"/>
    </row>
    <row r="245" spans="1:4" x14ac:dyDescent="0.25">
      <c r="B245" s="59"/>
      <c r="C245" s="65"/>
      <c r="D245" s="59"/>
    </row>
    <row r="246" spans="1:4" x14ac:dyDescent="0.25">
      <c r="A246" s="61" t="s">
        <v>1095</v>
      </c>
      <c r="B246" s="62" t="str">
        <f xml:space="preserve"> CONCATENATE("I-",A246)</f>
        <v>I-0025</v>
      </c>
      <c r="C246" s="63" t="s">
        <v>1096</v>
      </c>
      <c r="D246" s="62"/>
    </row>
    <row r="247" spans="1:4" x14ac:dyDescent="0.25">
      <c r="A247" s="61" t="s">
        <v>903</v>
      </c>
      <c r="B247" s="64" t="str">
        <f>CONCATENATE($B$246,".",A247)</f>
        <v>I-0025.0001</v>
      </c>
      <c r="C247" s="65" t="s">
        <v>1097</v>
      </c>
      <c r="D247" s="59" t="s">
        <v>724</v>
      </c>
    </row>
    <row r="248" spans="1:4" x14ac:dyDescent="0.25">
      <c r="A248" s="61" t="s">
        <v>906</v>
      </c>
      <c r="B248" s="64" t="str">
        <f>CONCATENATE($B$246,".",A248)</f>
        <v>I-0025.0002</v>
      </c>
      <c r="C248" s="65" t="s">
        <v>1098</v>
      </c>
      <c r="D248" s="59" t="s">
        <v>5</v>
      </c>
    </row>
    <row r="249" spans="1:4" x14ac:dyDescent="0.25">
      <c r="A249" s="61" t="s">
        <v>908</v>
      </c>
      <c r="B249" s="64" t="str">
        <f>CONCATENATE($B$246,".",A249)</f>
        <v>I-0025.0003</v>
      </c>
      <c r="C249" s="65" t="s">
        <v>1043</v>
      </c>
      <c r="D249" s="59" t="s">
        <v>5</v>
      </c>
    </row>
    <row r="250" spans="1:4" s="56" customFormat="1" x14ac:dyDescent="0.25">
      <c r="A250" s="61" t="s">
        <v>910</v>
      </c>
      <c r="B250" s="64" t="str">
        <f>CONCATENATE($B$246,".",A250)</f>
        <v>I-0025.0004</v>
      </c>
      <c r="C250" s="65" t="s">
        <v>1099</v>
      </c>
      <c r="D250" s="59" t="s">
        <v>3</v>
      </c>
    </row>
    <row r="251" spans="1:4" x14ac:dyDescent="0.25">
      <c r="A251" s="61"/>
      <c r="C251" s="56"/>
      <c r="D251" s="56"/>
    </row>
    <row r="253" spans="1:4" x14ac:dyDescent="0.25">
      <c r="A253" s="61" t="s">
        <v>1095</v>
      </c>
      <c r="B253" s="62" t="str">
        <f xml:space="preserve"> CONCATENATE("I-",A253)</f>
        <v>I-0025</v>
      </c>
      <c r="C253" s="63" t="s">
        <v>1179</v>
      </c>
      <c r="D253" s="62"/>
    </row>
    <row r="254" spans="1:4" x14ac:dyDescent="0.25">
      <c r="A254" s="61" t="s">
        <v>903</v>
      </c>
      <c r="B254" s="64" t="str">
        <f>CONCATENATE($B$253,".",A254)</f>
        <v>I-0025.0001</v>
      </c>
      <c r="C254" s="65" t="s">
        <v>1180</v>
      </c>
      <c r="D254" s="59" t="s">
        <v>5</v>
      </c>
    </row>
    <row r="258" spans="1:4" x14ac:dyDescent="0.25">
      <c r="A258" s="61" t="s">
        <v>1181</v>
      </c>
      <c r="B258" s="62" t="str">
        <f xml:space="preserve"> CONCATENATE("I-",A258)</f>
        <v>I-0026</v>
      </c>
      <c r="C258" s="63" t="s">
        <v>1048</v>
      </c>
      <c r="D258" s="62"/>
    </row>
    <row r="259" spans="1:4" x14ac:dyDescent="0.25">
      <c r="A259" s="61" t="s">
        <v>903</v>
      </c>
      <c r="B259" s="64" t="str">
        <f>CONCATENATE($B$258,".",A259)</f>
        <v>I-0026.0001</v>
      </c>
      <c r="C259" s="65" t="s">
        <v>1049</v>
      </c>
      <c r="D259" s="59" t="s">
        <v>3</v>
      </c>
    </row>
    <row r="260" spans="1:4" x14ac:dyDescent="0.25">
      <c r="A260" s="61" t="s">
        <v>906</v>
      </c>
      <c r="B260" s="64" t="str">
        <f>CONCATENATE($B$258,".",A260)</f>
        <v>I-0026.0002</v>
      </c>
      <c r="C260" s="65" t="s">
        <v>1050</v>
      </c>
      <c r="D260" s="59" t="s">
        <v>3</v>
      </c>
    </row>
    <row r="261" spans="1:4" x14ac:dyDescent="0.25">
      <c r="A261" s="61" t="s">
        <v>908</v>
      </c>
      <c r="B261" s="64" t="str">
        <f>CONCATENATE($B$258,".",A261)</f>
        <v>I-0026.0003</v>
      </c>
      <c r="C261" s="65" t="s">
        <v>1051</v>
      </c>
      <c r="D261" s="59" t="s">
        <v>3</v>
      </c>
    </row>
    <row r="262" spans="1:4" x14ac:dyDescent="0.25">
      <c r="A262" s="61" t="s">
        <v>910</v>
      </c>
      <c r="B262" s="64" t="str">
        <f>CONCATENATE($B$258,".",A262)</f>
        <v>I-0026.0004</v>
      </c>
      <c r="C262" s="65" t="s">
        <v>1052</v>
      </c>
      <c r="D262" s="59" t="s">
        <v>3</v>
      </c>
    </row>
    <row r="263" spans="1:4" x14ac:dyDescent="0.25">
      <c r="A263" s="61" t="s">
        <v>912</v>
      </c>
      <c r="B263" s="64" t="str">
        <f>CONCATENATE($B$258,".",A263)</f>
        <v>I-0026.0005</v>
      </c>
      <c r="C263" s="65" t="s">
        <v>1053</v>
      </c>
      <c r="D263" s="59" t="s">
        <v>724</v>
      </c>
    </row>
    <row r="267" spans="1:4" x14ac:dyDescent="0.25">
      <c r="A267" s="61" t="s">
        <v>1071</v>
      </c>
      <c r="B267" s="62" t="str">
        <f xml:space="preserve"> CONCATENATE("I-",A267)</f>
        <v>I-0050</v>
      </c>
      <c r="C267" s="63" t="s">
        <v>1182</v>
      </c>
      <c r="D267" s="62"/>
    </row>
    <row r="268" spans="1:4" x14ac:dyDescent="0.25">
      <c r="A268" s="61" t="s">
        <v>903</v>
      </c>
      <c r="B268" s="64" t="str">
        <f>CONCATENATE($B$267,".",A268)</f>
        <v>I-0050.0001</v>
      </c>
      <c r="C268" s="65" t="s">
        <v>1183</v>
      </c>
      <c r="D268" s="59" t="s">
        <v>724</v>
      </c>
    </row>
    <row r="269" spans="1:4" x14ac:dyDescent="0.25">
      <c r="A269" s="61" t="s">
        <v>906</v>
      </c>
      <c r="B269" s="64" t="str">
        <f>CONCATENATE($B$267,".",A269)</f>
        <v>I-0050.0002</v>
      </c>
      <c r="C269" s="65" t="s">
        <v>1184</v>
      </c>
      <c r="D269" s="59" t="s">
        <v>1100</v>
      </c>
    </row>
    <row r="270" spans="1:4" x14ac:dyDescent="0.25">
      <c r="A270" s="61" t="s">
        <v>908</v>
      </c>
      <c r="B270" s="64" t="str">
        <f>CONCATENATE($B$267,".",A270)</f>
        <v>I-0050.0003</v>
      </c>
      <c r="C270" s="65" t="s">
        <v>1185</v>
      </c>
      <c r="D270" s="59" t="s">
        <v>1100</v>
      </c>
    </row>
    <row r="271" spans="1:4" x14ac:dyDescent="0.25">
      <c r="A271" s="61" t="s">
        <v>910</v>
      </c>
      <c r="B271" s="64" t="str">
        <f>CONCATENATE($B$267,".",A271)</f>
        <v>I-0050.0004</v>
      </c>
      <c r="C271" s="65" t="s">
        <v>1186</v>
      </c>
      <c r="D271" s="59" t="s">
        <v>1100</v>
      </c>
    </row>
    <row r="275" spans="1:4" x14ac:dyDescent="0.25">
      <c r="A275" s="61" t="s">
        <v>1187</v>
      </c>
      <c r="B275" s="62" t="str">
        <f xml:space="preserve"> CONCATENATE("I-",A275)</f>
        <v>I-0051</v>
      </c>
      <c r="C275" s="63" t="s">
        <v>1188</v>
      </c>
      <c r="D275" s="62"/>
    </row>
    <row r="276" spans="1:4" x14ac:dyDescent="0.25">
      <c r="A276" s="61" t="s">
        <v>903</v>
      </c>
      <c r="B276" s="64" t="str">
        <f>CONCATENATE($B$275,".",A276)</f>
        <v>I-0051.0001</v>
      </c>
      <c r="C276" s="65" t="s">
        <v>1189</v>
      </c>
      <c r="D276" s="59" t="s">
        <v>724</v>
      </c>
    </row>
    <row r="277" spans="1:4" x14ac:dyDescent="0.25">
      <c r="A277" s="61" t="s">
        <v>906</v>
      </c>
      <c r="B277" s="64" t="str">
        <f>CONCATENATE($B$275,".",A277)</f>
        <v>I-0051.0002</v>
      </c>
      <c r="C277" s="65" t="s">
        <v>1190</v>
      </c>
      <c r="D277" s="59" t="s">
        <v>1100</v>
      </c>
    </row>
    <row r="278" spans="1:4" x14ac:dyDescent="0.25">
      <c r="A278" s="61" t="s">
        <v>908</v>
      </c>
      <c r="B278" s="64" t="str">
        <f>CONCATENATE($B$275,".",A278)</f>
        <v>I-0051.0003</v>
      </c>
      <c r="C278" s="65" t="s">
        <v>1191</v>
      </c>
      <c r="D278" s="59" t="s">
        <v>1100</v>
      </c>
    </row>
    <row r="279" spans="1:4" x14ac:dyDescent="0.25">
      <c r="A279" s="61" t="s">
        <v>910</v>
      </c>
      <c r="B279" s="64" t="str">
        <f>CONCATENATE($B$275,".",A279)</f>
        <v>I-0051.0004</v>
      </c>
      <c r="C279" s="65"/>
      <c r="D279" s="59"/>
    </row>
    <row r="282" spans="1:4" x14ac:dyDescent="0.25">
      <c r="A282" s="61" t="s">
        <v>1192</v>
      </c>
      <c r="B282" s="62" t="str">
        <f xml:space="preserve"> CONCATENATE("I-",A282)</f>
        <v>I-0052</v>
      </c>
      <c r="C282" s="63" t="s">
        <v>1193</v>
      </c>
      <c r="D282" s="62"/>
    </row>
    <row r="283" spans="1:4" x14ac:dyDescent="0.25">
      <c r="A283" s="61" t="s">
        <v>903</v>
      </c>
      <c r="B283" s="64" t="str">
        <f>CONCATENATE($B$282,".",A283)</f>
        <v>I-0052.0001</v>
      </c>
      <c r="C283" s="65" t="s">
        <v>1194</v>
      </c>
      <c r="D283" s="59" t="s">
        <v>724</v>
      </c>
    </row>
    <row r="284" spans="1:4" x14ac:dyDescent="0.25">
      <c r="A284" s="61" t="s">
        <v>906</v>
      </c>
      <c r="B284" s="64" t="str">
        <f>CONCATENATE($B$282,".",A284)</f>
        <v>I-0052.0002</v>
      </c>
      <c r="C284" s="65" t="s">
        <v>1195</v>
      </c>
      <c r="D284" s="59" t="s">
        <v>724</v>
      </c>
    </row>
    <row r="285" spans="1:4" x14ac:dyDescent="0.25">
      <c r="A285" s="61" t="s">
        <v>908</v>
      </c>
      <c r="B285" s="64" t="str">
        <f>CONCATENATE($B$282,".",A285)</f>
        <v>I-0052.0003</v>
      </c>
      <c r="C285" s="65" t="s">
        <v>1196</v>
      </c>
      <c r="D285" s="59" t="s">
        <v>1100</v>
      </c>
    </row>
    <row r="286" spans="1:4" x14ac:dyDescent="0.25">
      <c r="A286" s="61" t="s">
        <v>910</v>
      </c>
      <c r="B286" s="64" t="str">
        <f>CONCATENATE($B$282,".",A286)</f>
        <v>I-0052.0004</v>
      </c>
      <c r="C286" s="65" t="s">
        <v>1197</v>
      </c>
      <c r="D286" s="59" t="s">
        <v>3</v>
      </c>
    </row>
    <row r="289" spans="1:4" x14ac:dyDescent="0.25">
      <c r="A289" s="61" t="s">
        <v>1198</v>
      </c>
      <c r="B289" s="62" t="str">
        <f xml:space="preserve"> CONCATENATE("I-",A289)</f>
        <v>I-0053</v>
      </c>
      <c r="C289" s="63" t="s">
        <v>1199</v>
      </c>
      <c r="D289" s="62"/>
    </row>
    <row r="290" spans="1:4" x14ac:dyDescent="0.25">
      <c r="A290" s="61" t="s">
        <v>903</v>
      </c>
      <c r="B290" s="64" t="str">
        <f>CONCATENATE($B$289,".",A290)</f>
        <v>I-0053.0001</v>
      </c>
      <c r="C290" s="65" t="s">
        <v>1200</v>
      </c>
      <c r="D290" s="59" t="s">
        <v>3</v>
      </c>
    </row>
    <row r="291" spans="1:4" x14ac:dyDescent="0.25">
      <c r="A291" s="61" t="s">
        <v>906</v>
      </c>
      <c r="B291" s="64" t="str">
        <f>CONCATENATE($B$289,".",A291)</f>
        <v>I-0053.0002</v>
      </c>
      <c r="C291" s="65" t="s">
        <v>1201</v>
      </c>
      <c r="D291" s="59" t="s">
        <v>3</v>
      </c>
    </row>
    <row r="292" spans="1:4" x14ac:dyDescent="0.25">
      <c r="A292" s="61" t="s">
        <v>908</v>
      </c>
      <c r="B292" s="64" t="str">
        <f>CONCATENATE($B$289,".",A292)</f>
        <v>I-0053.0003</v>
      </c>
      <c r="C292" s="65" t="s">
        <v>1202</v>
      </c>
      <c r="D292" s="59" t="s">
        <v>1100</v>
      </c>
    </row>
    <row r="293" spans="1:4" x14ac:dyDescent="0.25">
      <c r="A293" s="61" t="s">
        <v>910</v>
      </c>
      <c r="B293" s="64" t="str">
        <f>CONCATENATE($B$289,".",A293)</f>
        <v>I-0053.0004</v>
      </c>
      <c r="C293" s="65"/>
      <c r="D293" s="59"/>
    </row>
    <row r="295" spans="1:4" x14ac:dyDescent="0.25">
      <c r="A295" s="61" t="s">
        <v>1203</v>
      </c>
      <c r="B295" s="62" t="str">
        <f xml:space="preserve"> CONCATENATE("I-",A295)</f>
        <v>I-0054</v>
      </c>
      <c r="C295" s="63" t="s">
        <v>1204</v>
      </c>
      <c r="D295" s="62"/>
    </row>
    <row r="296" spans="1:4" x14ac:dyDescent="0.25">
      <c r="A296" s="61" t="s">
        <v>903</v>
      </c>
      <c r="B296" s="64" t="str">
        <f>CONCATENATE($B$295,".",A296)</f>
        <v>I-0054.0001</v>
      </c>
      <c r="C296" s="65" t="s">
        <v>1205</v>
      </c>
      <c r="D296" s="59" t="s">
        <v>3</v>
      </c>
    </row>
    <row r="297" spans="1:4" x14ac:dyDescent="0.25">
      <c r="A297" s="61" t="s">
        <v>906</v>
      </c>
      <c r="B297" s="64" t="str">
        <f t="shared" ref="B297:B312" si="13">CONCATENATE($B$295,".",A297)</f>
        <v>I-0054.0002</v>
      </c>
      <c r="C297" s="65" t="s">
        <v>1144</v>
      </c>
      <c r="D297" s="59" t="s">
        <v>4</v>
      </c>
    </row>
    <row r="298" spans="1:4" x14ac:dyDescent="0.25">
      <c r="A298" s="61" t="s">
        <v>908</v>
      </c>
      <c r="B298" s="64" t="str">
        <f t="shared" si="13"/>
        <v>I-0054.0003</v>
      </c>
      <c r="C298" s="65" t="s">
        <v>1206</v>
      </c>
      <c r="D298" s="59" t="s">
        <v>4</v>
      </c>
    </row>
    <row r="299" spans="1:4" x14ac:dyDescent="0.25">
      <c r="A299" s="61" t="s">
        <v>910</v>
      </c>
      <c r="B299" s="64" t="str">
        <f t="shared" si="13"/>
        <v>I-0054.0004</v>
      </c>
      <c r="C299" s="65" t="s">
        <v>1207</v>
      </c>
      <c r="D299" s="59" t="s">
        <v>724</v>
      </c>
    </row>
    <row r="300" spans="1:4" x14ac:dyDescent="0.25">
      <c r="A300" s="61" t="s">
        <v>912</v>
      </c>
      <c r="B300" s="64" t="str">
        <f t="shared" si="13"/>
        <v>I-0054.0005</v>
      </c>
      <c r="C300" s="65" t="s">
        <v>1208</v>
      </c>
      <c r="D300" s="59" t="s">
        <v>724</v>
      </c>
    </row>
    <row r="301" spans="1:4" x14ac:dyDescent="0.25">
      <c r="A301" s="61" t="s">
        <v>914</v>
      </c>
      <c r="B301" s="64" t="str">
        <f t="shared" si="13"/>
        <v>I-0054.0006</v>
      </c>
      <c r="C301" s="65" t="s">
        <v>1145</v>
      </c>
      <c r="D301" s="59" t="s">
        <v>1100</v>
      </c>
    </row>
    <row r="302" spans="1:4" x14ac:dyDescent="0.25">
      <c r="A302" s="61" t="s">
        <v>916</v>
      </c>
      <c r="B302" s="64" t="str">
        <f t="shared" si="13"/>
        <v>I-0054.0007</v>
      </c>
      <c r="C302" s="65" t="s">
        <v>1209</v>
      </c>
      <c r="D302" s="59" t="s">
        <v>1100</v>
      </c>
    </row>
    <row r="303" spans="1:4" x14ac:dyDescent="0.25">
      <c r="A303" s="61" t="s">
        <v>932</v>
      </c>
      <c r="B303" s="64" t="str">
        <f t="shared" si="13"/>
        <v>I-0054.0008</v>
      </c>
      <c r="C303" s="65" t="s">
        <v>1210</v>
      </c>
      <c r="D303" s="59" t="s">
        <v>1100</v>
      </c>
    </row>
    <row r="304" spans="1:4" x14ac:dyDescent="0.25">
      <c r="A304" s="61" t="s">
        <v>934</v>
      </c>
      <c r="B304" s="64" t="str">
        <f t="shared" si="13"/>
        <v>I-0054.0009</v>
      </c>
      <c r="C304" s="65" t="s">
        <v>1211</v>
      </c>
      <c r="D304" s="59" t="s">
        <v>1143</v>
      </c>
    </row>
    <row r="305" spans="1:4" x14ac:dyDescent="0.25">
      <c r="A305" s="61" t="s">
        <v>936</v>
      </c>
      <c r="B305" s="64" t="str">
        <f t="shared" si="13"/>
        <v>I-0054.0010</v>
      </c>
      <c r="C305" s="65" t="s">
        <v>1212</v>
      </c>
      <c r="D305" s="59" t="s">
        <v>4</v>
      </c>
    </row>
    <row r="306" spans="1:4" x14ac:dyDescent="0.25">
      <c r="A306" s="61" t="s">
        <v>937</v>
      </c>
      <c r="B306" s="64" t="str">
        <f t="shared" si="13"/>
        <v>I-0054.0011</v>
      </c>
      <c r="C306" s="65" t="s">
        <v>1213</v>
      </c>
      <c r="D306" s="59" t="s">
        <v>4</v>
      </c>
    </row>
    <row r="307" spans="1:4" x14ac:dyDescent="0.25">
      <c r="A307" s="61" t="s">
        <v>939</v>
      </c>
      <c r="B307" s="64" t="str">
        <f t="shared" si="13"/>
        <v>I-0054.0012</v>
      </c>
      <c r="C307" s="65" t="s">
        <v>1214</v>
      </c>
      <c r="D307" s="59" t="s">
        <v>4</v>
      </c>
    </row>
    <row r="308" spans="1:4" x14ac:dyDescent="0.25">
      <c r="A308" s="61" t="s">
        <v>997</v>
      </c>
      <c r="B308" s="64" t="str">
        <f t="shared" si="13"/>
        <v>I-0054.0013</v>
      </c>
      <c r="C308" s="65" t="s">
        <v>1215</v>
      </c>
      <c r="D308" s="59" t="s">
        <v>1100</v>
      </c>
    </row>
    <row r="309" spans="1:4" x14ac:dyDescent="0.25">
      <c r="A309" s="61" t="s">
        <v>1010</v>
      </c>
      <c r="B309" s="64" t="str">
        <f t="shared" si="13"/>
        <v>I-0054.0014</v>
      </c>
      <c r="C309" s="65" t="s">
        <v>1216</v>
      </c>
      <c r="D309" s="59" t="s">
        <v>1100</v>
      </c>
    </row>
    <row r="310" spans="1:4" x14ac:dyDescent="0.25">
      <c r="A310" s="61" t="s">
        <v>1014</v>
      </c>
      <c r="B310" s="64" t="str">
        <f t="shared" si="13"/>
        <v>I-0054.0015</v>
      </c>
      <c r="C310" s="65" t="s">
        <v>1217</v>
      </c>
      <c r="D310" s="59" t="s">
        <v>5</v>
      </c>
    </row>
    <row r="311" spans="1:4" x14ac:dyDescent="0.25">
      <c r="A311" s="61" t="s">
        <v>1026</v>
      </c>
      <c r="B311" s="64" t="str">
        <f t="shared" si="13"/>
        <v>I-0054.0016</v>
      </c>
      <c r="C311" s="65" t="s">
        <v>1218</v>
      </c>
      <c r="D311" s="59" t="s">
        <v>4</v>
      </c>
    </row>
    <row r="312" spans="1:4" x14ac:dyDescent="0.25">
      <c r="A312" s="61" t="s">
        <v>1036</v>
      </c>
      <c r="B312" s="64" t="str">
        <f t="shared" si="13"/>
        <v>I-0054.0017</v>
      </c>
      <c r="C312" s="65" t="s">
        <v>1219</v>
      </c>
      <c r="D312" s="59" t="s">
        <v>3</v>
      </c>
    </row>
    <row r="314" spans="1:4" x14ac:dyDescent="0.25">
      <c r="A314" s="61" t="s">
        <v>1220</v>
      </c>
      <c r="B314" s="62" t="str">
        <f xml:space="preserve"> CONCATENATE("I-",A314)</f>
        <v>I-0055</v>
      </c>
      <c r="C314" s="63" t="s">
        <v>1221</v>
      </c>
      <c r="D314" s="62"/>
    </row>
    <row r="315" spans="1:4" x14ac:dyDescent="0.25">
      <c r="A315" s="61" t="s">
        <v>903</v>
      </c>
      <c r="B315" s="64" t="str">
        <f>CONCATENATE($B$314,".",A315)</f>
        <v>I-0055.0001</v>
      </c>
      <c r="C315" s="65" t="s">
        <v>1222</v>
      </c>
      <c r="D315" s="59" t="s">
        <v>3</v>
      </c>
    </row>
    <row r="316" spans="1:4" x14ac:dyDescent="0.25">
      <c r="A316" s="61" t="s">
        <v>906</v>
      </c>
      <c r="B316" s="64" t="str">
        <f>CONCATENATE($B$314,".",A316)</f>
        <v>I-0055.0002</v>
      </c>
      <c r="C316" s="65" t="s">
        <v>1223</v>
      </c>
      <c r="D316" s="59" t="s">
        <v>1224</v>
      </c>
    </row>
    <row r="317" spans="1:4" x14ac:dyDescent="0.25">
      <c r="A317" s="61" t="s">
        <v>908</v>
      </c>
      <c r="B317" s="64" t="str">
        <f>CONCATENATE($B$314,".",A317)</f>
        <v>I-0055.0003</v>
      </c>
      <c r="C317" s="65" t="s">
        <v>1225</v>
      </c>
      <c r="D317" s="59" t="s">
        <v>724</v>
      </c>
    </row>
    <row r="318" spans="1:4" x14ac:dyDescent="0.25">
      <c r="A318" s="61" t="s">
        <v>910</v>
      </c>
      <c r="B318" s="64" t="str">
        <f>CONCATENATE($B$314,".",A318)</f>
        <v>I-0055.0004</v>
      </c>
      <c r="C318" s="65"/>
      <c r="D318" s="59"/>
    </row>
    <row r="321" spans="1:4" x14ac:dyDescent="0.25">
      <c r="A321" s="61" t="s">
        <v>1226</v>
      </c>
      <c r="B321" s="62" t="str">
        <f xml:space="preserve"> CONCATENATE("I-",A321)</f>
        <v>I-0056</v>
      </c>
      <c r="C321" s="63" t="s">
        <v>1227</v>
      </c>
      <c r="D321" s="62"/>
    </row>
    <row r="322" spans="1:4" x14ac:dyDescent="0.25">
      <c r="A322" s="61" t="s">
        <v>903</v>
      </c>
      <c r="B322" s="64" t="str">
        <f>CONCATENATE($B$321,".",A322)</f>
        <v>I-0056.0001</v>
      </c>
      <c r="C322" s="65" t="s">
        <v>1228</v>
      </c>
      <c r="D322" s="59" t="s">
        <v>3</v>
      </c>
    </row>
    <row r="323" spans="1:4" x14ac:dyDescent="0.25">
      <c r="A323" s="61" t="s">
        <v>906</v>
      </c>
      <c r="B323" s="64" t="str">
        <f>CONCATENATE($B$321,".",A323)</f>
        <v>I-0056.0002</v>
      </c>
      <c r="C323" s="65" t="s">
        <v>1229</v>
      </c>
      <c r="D323" s="59" t="s">
        <v>3</v>
      </c>
    </row>
    <row r="324" spans="1:4" x14ac:dyDescent="0.25">
      <c r="A324" s="61" t="s">
        <v>908</v>
      </c>
      <c r="B324" s="64" t="str">
        <f>CONCATENATE($B$321,".",A324)</f>
        <v>I-0056.0003</v>
      </c>
      <c r="C324" s="65"/>
      <c r="D324" s="59"/>
    </row>
    <row r="325" spans="1:4" x14ac:dyDescent="0.25">
      <c r="A325" s="61" t="s">
        <v>910</v>
      </c>
      <c r="B325" s="64" t="str">
        <f>CONCATENATE($B$321,".",A325)</f>
        <v>I-0056.0004</v>
      </c>
      <c r="C325" s="65"/>
      <c r="D325" s="59"/>
    </row>
  </sheetData>
  <conditionalFormatting sqref="C3">
    <cfRule type="expression" dxfId="95" priority="100" stopIfTrue="1">
      <formula>#REF!&gt;0</formula>
    </cfRule>
    <cfRule type="expression" dxfId="94" priority="101" stopIfTrue="1">
      <formula>#REF!&gt;0</formula>
    </cfRule>
    <cfRule type="expression" dxfId="93" priority="102" stopIfTrue="1">
      <formula>#REF!&gt;0</formula>
    </cfRule>
  </conditionalFormatting>
  <conditionalFormatting sqref="C19 C262:C263">
    <cfRule type="expression" dxfId="92" priority="97" stopIfTrue="1">
      <formula>#REF!&gt;0</formula>
    </cfRule>
    <cfRule type="expression" dxfId="91" priority="98" stopIfTrue="1">
      <formula>#REF!&gt;0</formula>
    </cfRule>
    <cfRule type="expression" dxfId="90" priority="99" stopIfTrue="1">
      <formula>#REF!&gt;0</formula>
    </cfRule>
  </conditionalFormatting>
  <conditionalFormatting sqref="C31">
    <cfRule type="expression" dxfId="89" priority="94" stopIfTrue="1">
      <formula>#REF!&gt;0</formula>
    </cfRule>
    <cfRule type="expression" dxfId="88" priority="95" stopIfTrue="1">
      <formula>#REF!&gt;0</formula>
    </cfRule>
    <cfRule type="expression" dxfId="87" priority="96" stopIfTrue="1">
      <formula>#REF!&gt;0</formula>
    </cfRule>
  </conditionalFormatting>
  <conditionalFormatting sqref="C258">
    <cfRule type="expression" dxfId="86" priority="91" stopIfTrue="1">
      <formula>#REF!&gt;0</formula>
    </cfRule>
    <cfRule type="expression" dxfId="85" priority="92" stopIfTrue="1">
      <formula>#REF!&gt;0</formula>
    </cfRule>
    <cfRule type="expression" dxfId="84" priority="93" stopIfTrue="1">
      <formula>#REF!&gt;0</formula>
    </cfRule>
  </conditionalFormatting>
  <conditionalFormatting sqref="C109">
    <cfRule type="expression" dxfId="83" priority="88" stopIfTrue="1">
      <formula>#REF!&gt;0</formula>
    </cfRule>
    <cfRule type="expression" dxfId="82" priority="89" stopIfTrue="1">
      <formula>#REF!&gt;0</formula>
    </cfRule>
    <cfRule type="expression" dxfId="81" priority="90" stopIfTrue="1">
      <formula>#REF!&gt;0</formula>
    </cfRule>
  </conditionalFormatting>
  <conditionalFormatting sqref="C117">
    <cfRule type="expression" dxfId="80" priority="85" stopIfTrue="1">
      <formula>#REF!&gt;0</formula>
    </cfRule>
    <cfRule type="expression" dxfId="79" priority="86" stopIfTrue="1">
      <formula>#REF!&gt;0</formula>
    </cfRule>
    <cfRule type="expression" dxfId="78" priority="87" stopIfTrue="1">
      <formula>#REF!&gt;0</formula>
    </cfRule>
  </conditionalFormatting>
  <conditionalFormatting sqref="C126">
    <cfRule type="expression" dxfId="77" priority="82" stopIfTrue="1">
      <formula>#REF!&gt;0</formula>
    </cfRule>
    <cfRule type="expression" dxfId="76" priority="83" stopIfTrue="1">
      <formula>#REF!&gt;0</formula>
    </cfRule>
    <cfRule type="expression" dxfId="75" priority="84" stopIfTrue="1">
      <formula>#REF!&gt;0</formula>
    </cfRule>
  </conditionalFormatting>
  <conditionalFormatting sqref="C143">
    <cfRule type="expression" dxfId="74" priority="79" stopIfTrue="1">
      <formula>#REF!&gt;0</formula>
    </cfRule>
    <cfRule type="expression" dxfId="73" priority="80" stopIfTrue="1">
      <formula>#REF!&gt;0</formula>
    </cfRule>
    <cfRule type="expression" dxfId="72" priority="81" stopIfTrue="1">
      <formula>#REF!&gt;0</formula>
    </cfRule>
  </conditionalFormatting>
  <conditionalFormatting sqref="C148">
    <cfRule type="expression" dxfId="71" priority="76" stopIfTrue="1">
      <formula>#REF!&gt;0</formula>
    </cfRule>
    <cfRule type="expression" dxfId="70" priority="77" stopIfTrue="1">
      <formula>#REF!&gt;0</formula>
    </cfRule>
    <cfRule type="expression" dxfId="69" priority="78" stopIfTrue="1">
      <formula>#REF!&gt;0</formula>
    </cfRule>
  </conditionalFormatting>
  <conditionalFormatting sqref="C163">
    <cfRule type="expression" dxfId="68" priority="73" stopIfTrue="1">
      <formula>#REF!&gt;0</formula>
    </cfRule>
    <cfRule type="expression" dxfId="67" priority="74" stopIfTrue="1">
      <formula>#REF!&gt;0</formula>
    </cfRule>
    <cfRule type="expression" dxfId="66" priority="75" stopIfTrue="1">
      <formula>#REF!&gt;0</formula>
    </cfRule>
  </conditionalFormatting>
  <conditionalFormatting sqref="C175">
    <cfRule type="expression" dxfId="65" priority="70" stopIfTrue="1">
      <formula>#REF!&gt;0</formula>
    </cfRule>
    <cfRule type="expression" dxfId="64" priority="71" stopIfTrue="1">
      <formula>#REF!&gt;0</formula>
    </cfRule>
    <cfRule type="expression" dxfId="63" priority="72" stopIfTrue="1">
      <formula>#REF!&gt;0</formula>
    </cfRule>
  </conditionalFormatting>
  <conditionalFormatting sqref="C187">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C216">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C22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C13">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C47">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C60">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C85">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C78">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92">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99">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39">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246">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25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36">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267">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275">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2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289">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9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314">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321">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55"/>
  <sheetViews>
    <sheetView workbookViewId="0"/>
  </sheetViews>
  <sheetFormatPr baseColWidth="10" defaultColWidth="11.44140625" defaultRowHeight="20.100000000000001" customHeight="1" x14ac:dyDescent="0.25"/>
  <cols>
    <col min="1" max="1" width="30.109375" style="90" customWidth="1"/>
    <col min="2" max="2" width="55.6640625" style="90" customWidth="1"/>
    <col min="3" max="3" width="20.6640625" style="90" customWidth="1"/>
    <col min="4" max="5" width="15.6640625" style="90" customWidth="1"/>
    <col min="6" max="16384" width="11.44140625" style="90"/>
  </cols>
  <sheetData>
    <row r="1" spans="1:6" ht="20.100000000000001" customHeight="1" x14ac:dyDescent="0.25">
      <c r="A1" s="86" t="s">
        <v>7</v>
      </c>
      <c r="B1" s="87" t="str">
        <f>Comitente</f>
        <v>INSTITUTO PROVINCIAL DE LA VIVIENDA</v>
      </c>
      <c r="E1" s="86"/>
    </row>
    <row r="2" spans="1:6" s="55" customFormat="1" ht="20.100000000000001" customHeight="1" x14ac:dyDescent="0.25">
      <c r="A2" s="206" t="s">
        <v>8</v>
      </c>
      <c r="B2" s="338" t="str">
        <f>Obra</f>
        <v>LA NAVE - 103 DEPARTAMENTOS - CAPITAL</v>
      </c>
    </row>
    <row r="3" spans="1:6" s="55" customFormat="1" ht="20.100000000000001" customHeight="1" x14ac:dyDescent="0.25">
      <c r="A3" s="206" t="s">
        <v>12</v>
      </c>
      <c r="B3" s="338" t="str">
        <f>Ubicación</f>
        <v>CAPITAL</v>
      </c>
    </row>
    <row r="4" spans="1:6" s="55" customFormat="1" ht="20.100000000000001" customHeight="1" x14ac:dyDescent="0.25">
      <c r="A4" s="206" t="s">
        <v>11</v>
      </c>
      <c r="B4" s="339" t="str">
        <f>Número_Licitación</f>
        <v>LICITACION PUBLICA IPV N° 01/2023</v>
      </c>
    </row>
    <row r="5" spans="1:6" s="55" customFormat="1" ht="20.100000000000001" customHeight="1" x14ac:dyDescent="0.25">
      <c r="A5" s="206" t="s">
        <v>9</v>
      </c>
      <c r="B5" s="87" t="str">
        <f>Contratista</f>
        <v>xxxxxxxxx</v>
      </c>
    </row>
    <row r="6" spans="1:6" ht="20.100000000000001" customHeight="1" x14ac:dyDescent="0.25">
      <c r="A6" s="86"/>
      <c r="B6" s="86"/>
      <c r="C6" s="86"/>
      <c r="D6" s="86"/>
      <c r="E6" s="86"/>
      <c r="F6" s="86"/>
    </row>
    <row r="7" spans="1:6" ht="20.100000000000001" customHeight="1" x14ac:dyDescent="0.25">
      <c r="A7" s="625" t="s">
        <v>35</v>
      </c>
      <c r="B7" s="626"/>
      <c r="C7" s="626"/>
      <c r="D7" s="626"/>
      <c r="E7" s="627"/>
    </row>
    <row r="8" spans="1:6" ht="20.100000000000001" customHeight="1" x14ac:dyDescent="0.25">
      <c r="A8" s="628" t="s">
        <v>716</v>
      </c>
      <c r="B8" s="629"/>
      <c r="C8" s="629"/>
      <c r="D8" s="629"/>
      <c r="E8" s="630"/>
    </row>
    <row r="10" spans="1:6" ht="20.100000000000001" customHeight="1" x14ac:dyDescent="0.25">
      <c r="A10" s="623"/>
      <c r="B10" s="624"/>
      <c r="C10" s="71" t="s">
        <v>39</v>
      </c>
      <c r="D10" s="71" t="s">
        <v>36</v>
      </c>
      <c r="E10" s="71" t="s">
        <v>37</v>
      </c>
    </row>
    <row r="11" spans="1:6" ht="20.100000000000001" customHeight="1" x14ac:dyDescent="0.25">
      <c r="A11" s="621" t="s">
        <v>1122</v>
      </c>
      <c r="B11" s="622"/>
      <c r="C11" s="91">
        <f>SUBTOTAL(9,C12:C34)</f>
        <v>0</v>
      </c>
      <c r="D11" s="5">
        <f>SUBTOTAL(9,D12:D34)</f>
        <v>0</v>
      </c>
      <c r="E11" s="212"/>
    </row>
    <row r="12" spans="1:6" ht="20.100000000000001" customHeight="1" x14ac:dyDescent="0.25">
      <c r="A12" s="259"/>
      <c r="B12" s="260"/>
      <c r="C12" s="92"/>
      <c r="D12" s="4">
        <f t="shared" ref="D12:D34" si="0">IFERROR(C12/GG_Obra,0)</f>
        <v>0</v>
      </c>
      <c r="E12" s="4">
        <f t="shared" ref="E12:E34" si="1">IFERROR(C12/GG_Pesos,0)</f>
        <v>0</v>
      </c>
    </row>
    <row r="13" spans="1:6" ht="20.100000000000001" customHeight="1" x14ac:dyDescent="0.25">
      <c r="A13" s="217"/>
      <c r="B13" s="218"/>
      <c r="C13" s="92"/>
      <c r="D13" s="4">
        <f t="shared" si="0"/>
        <v>0</v>
      </c>
      <c r="E13" s="4">
        <f t="shared" si="1"/>
        <v>0</v>
      </c>
    </row>
    <row r="14" spans="1:6" ht="20.100000000000001" customHeight="1" x14ac:dyDescent="0.25">
      <c r="A14" s="217"/>
      <c r="B14" s="218"/>
      <c r="C14" s="92"/>
      <c r="D14" s="4">
        <f t="shared" si="0"/>
        <v>0</v>
      </c>
      <c r="E14" s="4">
        <f t="shared" si="1"/>
        <v>0</v>
      </c>
    </row>
    <row r="15" spans="1:6" ht="20.100000000000001" customHeight="1" x14ac:dyDescent="0.25">
      <c r="A15" s="217"/>
      <c r="B15" s="218"/>
      <c r="C15" s="92"/>
      <c r="D15" s="4">
        <f t="shared" si="0"/>
        <v>0</v>
      </c>
      <c r="E15" s="4">
        <f t="shared" si="1"/>
        <v>0</v>
      </c>
    </row>
    <row r="16" spans="1:6" ht="20.100000000000001" customHeight="1" x14ac:dyDescent="0.25">
      <c r="A16" s="217"/>
      <c r="B16" s="218"/>
      <c r="C16" s="92"/>
      <c r="D16" s="4">
        <f t="shared" si="0"/>
        <v>0</v>
      </c>
      <c r="E16" s="4">
        <f t="shared" si="1"/>
        <v>0</v>
      </c>
    </row>
    <row r="17" spans="1:5" ht="20.100000000000001" customHeight="1" x14ac:dyDescent="0.25">
      <c r="A17" s="217"/>
      <c r="B17" s="218"/>
      <c r="C17" s="92"/>
      <c r="D17" s="4">
        <f t="shared" si="0"/>
        <v>0</v>
      </c>
      <c r="E17" s="4">
        <f t="shared" si="1"/>
        <v>0</v>
      </c>
    </row>
    <row r="18" spans="1:5" ht="20.100000000000001" customHeight="1" x14ac:dyDescent="0.25">
      <c r="A18" s="217"/>
      <c r="B18" s="218"/>
      <c r="C18" s="92"/>
      <c r="D18" s="4">
        <f t="shared" si="0"/>
        <v>0</v>
      </c>
      <c r="E18" s="4">
        <f t="shared" si="1"/>
        <v>0</v>
      </c>
    </row>
    <row r="19" spans="1:5" ht="20.100000000000001" customHeight="1" x14ac:dyDescent="0.25">
      <c r="A19" s="217"/>
      <c r="B19" s="218"/>
      <c r="C19" s="92"/>
      <c r="D19" s="4">
        <f t="shared" si="0"/>
        <v>0</v>
      </c>
      <c r="E19" s="4">
        <f t="shared" si="1"/>
        <v>0</v>
      </c>
    </row>
    <row r="20" spans="1:5" ht="20.100000000000001" customHeight="1" x14ac:dyDescent="0.25">
      <c r="A20" s="217"/>
      <c r="B20" s="218"/>
      <c r="C20" s="92"/>
      <c r="D20" s="4">
        <f t="shared" si="0"/>
        <v>0</v>
      </c>
      <c r="E20" s="4">
        <f t="shared" si="1"/>
        <v>0</v>
      </c>
    </row>
    <row r="21" spans="1:5" ht="20.100000000000001" customHeight="1" x14ac:dyDescent="0.25">
      <c r="A21" s="217"/>
      <c r="B21" s="218"/>
      <c r="C21" s="92"/>
      <c r="D21" s="4">
        <f t="shared" si="0"/>
        <v>0</v>
      </c>
      <c r="E21" s="4">
        <f t="shared" si="1"/>
        <v>0</v>
      </c>
    </row>
    <row r="22" spans="1:5" ht="20.100000000000001" customHeight="1" x14ac:dyDescent="0.25">
      <c r="A22" s="217"/>
      <c r="B22" s="218"/>
      <c r="C22" s="92"/>
      <c r="D22" s="4">
        <f t="shared" si="0"/>
        <v>0</v>
      </c>
      <c r="E22" s="4">
        <f t="shared" si="1"/>
        <v>0</v>
      </c>
    </row>
    <row r="23" spans="1:5" ht="20.100000000000001" customHeight="1" x14ac:dyDescent="0.25">
      <c r="A23" s="217"/>
      <c r="B23" s="218"/>
      <c r="C23" s="92"/>
      <c r="D23" s="4">
        <f t="shared" si="0"/>
        <v>0</v>
      </c>
      <c r="E23" s="4">
        <f t="shared" si="1"/>
        <v>0</v>
      </c>
    </row>
    <row r="24" spans="1:5" ht="20.100000000000001" customHeight="1" x14ac:dyDescent="0.25">
      <c r="A24" s="217"/>
      <c r="B24" s="218"/>
      <c r="C24" s="92"/>
      <c r="D24" s="4">
        <f t="shared" si="0"/>
        <v>0</v>
      </c>
      <c r="E24" s="4">
        <f t="shared" si="1"/>
        <v>0</v>
      </c>
    </row>
    <row r="25" spans="1:5" ht="20.100000000000001" customHeight="1" x14ac:dyDescent="0.25">
      <c r="A25" s="217"/>
      <c r="B25" s="218"/>
      <c r="C25" s="92"/>
      <c r="D25" s="4">
        <f>IFERROR(C25/GG_Obra,0)</f>
        <v>0</v>
      </c>
      <c r="E25" s="4">
        <f>IFERROR(C25/GG_Pesos,0)</f>
        <v>0</v>
      </c>
    </row>
    <row r="26" spans="1:5" ht="20.100000000000001" customHeight="1" x14ac:dyDescent="0.25">
      <c r="A26" s="217"/>
      <c r="B26" s="218"/>
      <c r="C26" s="92"/>
      <c r="D26" s="4">
        <f>IFERROR(C26/GG_Obra,0)</f>
        <v>0</v>
      </c>
      <c r="E26" s="4">
        <f>IFERROR(C26/GG_Pesos,0)</f>
        <v>0</v>
      </c>
    </row>
    <row r="27" spans="1:5" ht="20.100000000000001" customHeight="1" x14ac:dyDescent="0.25">
      <c r="A27" s="217"/>
      <c r="B27" s="218"/>
      <c r="C27" s="92"/>
      <c r="D27" s="4">
        <f>IFERROR(C27/GG_Obra,0)</f>
        <v>0</v>
      </c>
      <c r="E27" s="4">
        <f>IFERROR(C27/GG_Pesos,0)</f>
        <v>0</v>
      </c>
    </row>
    <row r="28" spans="1:5" ht="20.100000000000001" customHeight="1" x14ac:dyDescent="0.25">
      <c r="A28" s="217"/>
      <c r="B28" s="218"/>
      <c r="C28" s="92"/>
      <c r="D28" s="4">
        <f>IFERROR(C28/GG_Obra,0)</f>
        <v>0</v>
      </c>
      <c r="E28" s="4">
        <f>IFERROR(C28/GG_Pesos,0)</f>
        <v>0</v>
      </c>
    </row>
    <row r="29" spans="1:5" ht="20.100000000000001" customHeight="1" x14ac:dyDescent="0.25">
      <c r="A29" s="217"/>
      <c r="B29" s="218"/>
      <c r="C29" s="92"/>
      <c r="D29" s="4">
        <f t="shared" si="0"/>
        <v>0</v>
      </c>
      <c r="E29" s="4">
        <f t="shared" si="1"/>
        <v>0</v>
      </c>
    </row>
    <row r="30" spans="1:5" ht="20.100000000000001" customHeight="1" x14ac:dyDescent="0.25">
      <c r="A30" s="217"/>
      <c r="B30" s="218"/>
      <c r="C30" s="92"/>
      <c r="D30" s="4">
        <f t="shared" si="0"/>
        <v>0</v>
      </c>
      <c r="E30" s="4">
        <f t="shared" si="1"/>
        <v>0</v>
      </c>
    </row>
    <row r="31" spans="1:5" ht="20.100000000000001" customHeight="1" x14ac:dyDescent="0.25">
      <c r="A31" s="217"/>
      <c r="B31" s="218"/>
      <c r="C31" s="92"/>
      <c r="D31" s="4">
        <f t="shared" si="0"/>
        <v>0</v>
      </c>
      <c r="E31" s="4">
        <f t="shared" si="1"/>
        <v>0</v>
      </c>
    </row>
    <row r="32" spans="1:5" ht="20.100000000000001" customHeight="1" x14ac:dyDescent="0.25">
      <c r="A32" s="217"/>
      <c r="B32" s="218"/>
      <c r="C32" s="92"/>
      <c r="D32" s="4">
        <f t="shared" si="0"/>
        <v>0</v>
      </c>
      <c r="E32" s="4">
        <f t="shared" si="1"/>
        <v>0</v>
      </c>
    </row>
    <row r="33" spans="1:5" ht="20.100000000000001" customHeight="1" x14ac:dyDescent="0.25">
      <c r="A33" s="217"/>
      <c r="B33" s="218"/>
      <c r="C33" s="92"/>
      <c r="D33" s="4">
        <f t="shared" si="0"/>
        <v>0</v>
      </c>
      <c r="E33" s="4">
        <f t="shared" si="1"/>
        <v>0</v>
      </c>
    </row>
    <row r="34" spans="1:5" ht="20.100000000000001" customHeight="1" x14ac:dyDescent="0.25">
      <c r="A34" s="217"/>
      <c r="B34" s="218"/>
      <c r="C34" s="92"/>
      <c r="D34" s="4">
        <f t="shared" si="0"/>
        <v>0</v>
      </c>
      <c r="E34" s="4">
        <f t="shared" si="1"/>
        <v>0</v>
      </c>
    </row>
    <row r="35" spans="1:5" ht="20.100000000000001" customHeight="1" x14ac:dyDescent="0.25">
      <c r="A35" s="213"/>
      <c r="E35" s="214"/>
    </row>
    <row r="36" spans="1:5" ht="20.100000000000001" customHeight="1" x14ac:dyDescent="0.25">
      <c r="A36" s="621" t="s">
        <v>38</v>
      </c>
      <c r="B36" s="622"/>
      <c r="C36" s="91">
        <f>SUBTOTAL(9,C37:C50)</f>
        <v>0</v>
      </c>
      <c r="D36" s="70">
        <f>SUBTOTAL(9,D37:D57)</f>
        <v>0</v>
      </c>
      <c r="E36" s="214"/>
    </row>
    <row r="37" spans="1:5" ht="20.100000000000001" customHeight="1" x14ac:dyDescent="0.25">
      <c r="A37" s="217"/>
      <c r="B37" s="218"/>
      <c r="C37" s="92"/>
      <c r="D37" s="4">
        <f t="shared" ref="D37:D50" si="2">IFERROR(C37/GG_Empresa,0)</f>
        <v>0</v>
      </c>
      <c r="E37" s="4">
        <f t="shared" ref="E37:E50" si="3">IFERROR(C37/GG_Pesos,0)</f>
        <v>0</v>
      </c>
    </row>
    <row r="38" spans="1:5" ht="20.100000000000001" customHeight="1" x14ac:dyDescent="0.25">
      <c r="A38" s="217"/>
      <c r="B38" s="218"/>
      <c r="C38" s="92"/>
      <c r="D38" s="4">
        <f t="shared" si="2"/>
        <v>0</v>
      </c>
      <c r="E38" s="4">
        <f t="shared" si="3"/>
        <v>0</v>
      </c>
    </row>
    <row r="39" spans="1:5" ht="20.100000000000001" customHeight="1" x14ac:dyDescent="0.25">
      <c r="A39" s="217"/>
      <c r="B39" s="218"/>
      <c r="C39" s="92"/>
      <c r="D39" s="4">
        <f t="shared" si="2"/>
        <v>0</v>
      </c>
      <c r="E39" s="4">
        <f t="shared" si="3"/>
        <v>0</v>
      </c>
    </row>
    <row r="40" spans="1:5" ht="20.100000000000001" customHeight="1" x14ac:dyDescent="0.25">
      <c r="A40" s="217"/>
      <c r="B40" s="218"/>
      <c r="C40" s="92"/>
      <c r="D40" s="4">
        <f t="shared" si="2"/>
        <v>0</v>
      </c>
      <c r="E40" s="4">
        <f t="shared" si="3"/>
        <v>0</v>
      </c>
    </row>
    <row r="41" spans="1:5" ht="20.100000000000001" customHeight="1" x14ac:dyDescent="0.25">
      <c r="A41" s="217"/>
      <c r="B41" s="218"/>
      <c r="C41" s="92"/>
      <c r="D41" s="4">
        <f t="shared" si="2"/>
        <v>0</v>
      </c>
      <c r="E41" s="4">
        <f t="shared" si="3"/>
        <v>0</v>
      </c>
    </row>
    <row r="42" spans="1:5" ht="20.100000000000001" customHeight="1" x14ac:dyDescent="0.25">
      <c r="A42" s="217"/>
      <c r="B42" s="218"/>
      <c r="C42" s="92"/>
      <c r="D42" s="4">
        <f t="shared" si="2"/>
        <v>0</v>
      </c>
      <c r="E42" s="4">
        <f t="shared" si="3"/>
        <v>0</v>
      </c>
    </row>
    <row r="43" spans="1:5" ht="20.100000000000001" customHeight="1" x14ac:dyDescent="0.25">
      <c r="A43" s="217"/>
      <c r="B43" s="218"/>
      <c r="C43" s="92"/>
      <c r="D43" s="4">
        <f t="shared" si="2"/>
        <v>0</v>
      </c>
      <c r="E43" s="4">
        <f t="shared" si="3"/>
        <v>0</v>
      </c>
    </row>
    <row r="44" spans="1:5" ht="20.100000000000001" customHeight="1" x14ac:dyDescent="0.25">
      <c r="A44" s="217"/>
      <c r="B44" s="218"/>
      <c r="C44" s="92"/>
      <c r="D44" s="4">
        <f t="shared" si="2"/>
        <v>0</v>
      </c>
      <c r="E44" s="4">
        <f t="shared" si="3"/>
        <v>0</v>
      </c>
    </row>
    <row r="45" spans="1:5" ht="20.100000000000001" customHeight="1" x14ac:dyDescent="0.25">
      <c r="A45" s="217"/>
      <c r="B45" s="218"/>
      <c r="C45" s="92"/>
      <c r="D45" s="4">
        <f t="shared" si="2"/>
        <v>0</v>
      </c>
      <c r="E45" s="4">
        <f t="shared" si="3"/>
        <v>0</v>
      </c>
    </row>
    <row r="46" spans="1:5" ht="20.100000000000001" customHeight="1" x14ac:dyDescent="0.25">
      <c r="A46" s="217"/>
      <c r="B46" s="218"/>
      <c r="C46" s="92"/>
      <c r="D46" s="4">
        <f t="shared" si="2"/>
        <v>0</v>
      </c>
      <c r="E46" s="4">
        <f t="shared" si="3"/>
        <v>0</v>
      </c>
    </row>
    <row r="47" spans="1:5" ht="20.100000000000001" customHeight="1" x14ac:dyDescent="0.25">
      <c r="A47" s="217"/>
      <c r="B47" s="218"/>
      <c r="C47" s="92"/>
      <c r="D47" s="4">
        <f t="shared" si="2"/>
        <v>0</v>
      </c>
      <c r="E47" s="4">
        <f t="shared" si="3"/>
        <v>0</v>
      </c>
    </row>
    <row r="48" spans="1:5" ht="20.100000000000001" customHeight="1" x14ac:dyDescent="0.25">
      <c r="A48" s="217"/>
      <c r="B48" s="218"/>
      <c r="C48" s="92"/>
      <c r="D48" s="4">
        <f t="shared" si="2"/>
        <v>0</v>
      </c>
      <c r="E48" s="4">
        <f t="shared" si="3"/>
        <v>0</v>
      </c>
    </row>
    <row r="49" spans="1:5" ht="20.100000000000001" customHeight="1" x14ac:dyDescent="0.25">
      <c r="A49" s="217"/>
      <c r="B49" s="218"/>
      <c r="C49" s="92"/>
      <c r="D49" s="4">
        <f t="shared" si="2"/>
        <v>0</v>
      </c>
      <c r="E49" s="4">
        <f t="shared" si="3"/>
        <v>0</v>
      </c>
    </row>
    <row r="50" spans="1:5" ht="20.100000000000001" customHeight="1" x14ac:dyDescent="0.25">
      <c r="A50" s="217"/>
      <c r="B50" s="218"/>
      <c r="C50" s="92"/>
      <c r="D50" s="4">
        <f t="shared" si="2"/>
        <v>0</v>
      </c>
      <c r="E50" s="4">
        <f t="shared" si="3"/>
        <v>0</v>
      </c>
    </row>
    <row r="51" spans="1:5" ht="20.100000000000001" customHeight="1" x14ac:dyDescent="0.25">
      <c r="A51" s="213"/>
      <c r="E51" s="214"/>
    </row>
    <row r="52" spans="1:5" ht="20.100000000000001" customHeight="1" x14ac:dyDescent="0.25">
      <c r="A52" s="621" t="s">
        <v>717</v>
      </c>
      <c r="B52" s="622"/>
      <c r="C52" s="91">
        <f>SUBTOTAL(9,C11:C50)</f>
        <v>0</v>
      </c>
      <c r="D52" s="215"/>
      <c r="E52" s="72">
        <f>SUBTOTAL(9,E11:E50)</f>
        <v>0</v>
      </c>
    </row>
    <row r="53" spans="1:5" ht="20.100000000000001" customHeight="1" x14ac:dyDescent="0.25">
      <c r="E53" s="216"/>
    </row>
    <row r="54" spans="1:5" ht="20.100000000000001" customHeight="1" x14ac:dyDescent="0.25">
      <c r="D54" s="216"/>
    </row>
    <row r="55" spans="1:5" ht="20.100000000000001" customHeight="1" x14ac:dyDescent="0.25">
      <c r="C55" s="3"/>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N131"/>
  <sheetViews>
    <sheetView workbookViewId="0">
      <selection activeCell="I9" sqref="I9"/>
    </sheetView>
  </sheetViews>
  <sheetFormatPr baseColWidth="10" defaultColWidth="11.44140625" defaultRowHeight="20.100000000000001" customHeight="1" x14ac:dyDescent="0.25"/>
  <cols>
    <col min="1" max="1" width="12.6640625" style="75" customWidth="1"/>
    <col min="2" max="2" width="80.109375" style="75" customWidth="1"/>
    <col min="3" max="3" width="10.6640625" style="76" customWidth="1"/>
    <col min="4" max="4" width="14.6640625" style="75" customWidth="1"/>
    <col min="5" max="6" width="16.6640625" style="75" customWidth="1"/>
    <col min="7" max="7" width="19.109375" style="75" customWidth="1"/>
    <col min="8" max="8" width="13.88671875" style="75" bestFit="1" customWidth="1"/>
    <col min="9" max="9" width="16.88671875" style="75" customWidth="1"/>
    <col min="10" max="10" width="14.109375" style="75" bestFit="1" customWidth="1"/>
    <col min="11" max="11" width="13.5546875" style="75" customWidth="1"/>
    <col min="12" max="12" width="36.33203125" style="75" customWidth="1"/>
    <col min="13" max="16384" width="11.44140625" style="75"/>
  </cols>
  <sheetData>
    <row r="1" spans="1:7" ht="20.100000000000001" customHeight="1" x14ac:dyDescent="0.25">
      <c r="A1" s="587" t="s">
        <v>1254</v>
      </c>
      <c r="B1" s="587"/>
      <c r="C1" s="587"/>
      <c r="D1" s="587"/>
      <c r="E1" s="587"/>
      <c r="F1" s="587"/>
    </row>
    <row r="2" spans="1:7" s="94" customFormat="1" ht="20.100000000000001" customHeight="1" x14ac:dyDescent="0.25">
      <c r="A2" s="94" t="s">
        <v>1230</v>
      </c>
      <c r="B2" s="93" t="str">
        <f>Obra</f>
        <v>LA NAVE - 103 DEPARTAMENTOS - CAPITAL</v>
      </c>
      <c r="C2" s="150"/>
      <c r="D2" s="95"/>
      <c r="E2" s="95"/>
      <c r="F2" s="95"/>
    </row>
    <row r="3" spans="1:7" s="94" customFormat="1" ht="20.100000000000001" customHeight="1" x14ac:dyDescent="0.25">
      <c r="A3" s="94" t="s">
        <v>1231</v>
      </c>
      <c r="B3" s="93" t="str">
        <f>Ubicación</f>
        <v>CAPITAL</v>
      </c>
      <c r="C3" s="95"/>
      <c r="D3" s="95"/>
      <c r="E3" s="95"/>
      <c r="F3" s="95"/>
    </row>
    <row r="4" spans="1:7" s="94" customFormat="1" ht="20.100000000000001" customHeight="1" x14ac:dyDescent="0.25">
      <c r="A4" s="94" t="s">
        <v>1127</v>
      </c>
      <c r="B4" s="98" t="s">
        <v>1265</v>
      </c>
      <c r="D4" s="95"/>
      <c r="E4" s="95"/>
      <c r="F4" s="95"/>
    </row>
    <row r="5" spans="1:7" s="94" customFormat="1" ht="20.100000000000001" customHeight="1" x14ac:dyDescent="0.25">
      <c r="A5" s="94" t="s">
        <v>1156</v>
      </c>
      <c r="B5" s="578">
        <v>5</v>
      </c>
      <c r="D5" s="95"/>
      <c r="E5" s="95"/>
      <c r="F5" s="95"/>
    </row>
    <row r="6" spans="1:7" ht="20.100000000000001" customHeight="1" x14ac:dyDescent="0.25">
      <c r="A6" s="132"/>
      <c r="B6" s="135"/>
      <c r="C6" s="132"/>
      <c r="D6" s="132"/>
      <c r="E6" s="132"/>
      <c r="F6" s="132"/>
    </row>
    <row r="7" spans="1:7" ht="20.100000000000001" customHeight="1" x14ac:dyDescent="0.25">
      <c r="A7" s="588" t="s">
        <v>1105</v>
      </c>
      <c r="B7" s="590" t="s">
        <v>0</v>
      </c>
      <c r="C7" s="588" t="s">
        <v>1</v>
      </c>
      <c r="D7" s="588" t="s">
        <v>2</v>
      </c>
      <c r="E7" s="588" t="s">
        <v>1148</v>
      </c>
      <c r="F7" s="588" t="s">
        <v>1157</v>
      </c>
    </row>
    <row r="8" spans="1:7" ht="20.100000000000001" customHeight="1" x14ac:dyDescent="0.25">
      <c r="A8" s="589"/>
      <c r="B8" s="591"/>
      <c r="C8" s="589"/>
      <c r="D8" s="589"/>
      <c r="E8" s="589"/>
      <c r="F8" s="589"/>
    </row>
    <row r="9" spans="1:7" ht="20.100000000000001" customHeight="1" x14ac:dyDescent="0.25">
      <c r="A9" s="198"/>
      <c r="B9" s="136"/>
      <c r="C9" s="140"/>
      <c r="D9" s="140"/>
      <c r="E9" s="200"/>
      <c r="F9" s="201"/>
    </row>
    <row r="10" spans="1:7" ht="20.100000000000001" customHeight="1" x14ac:dyDescent="0.25">
      <c r="A10" s="223" t="s">
        <v>1124</v>
      </c>
      <c r="B10" s="224" t="str">
        <f>IFERROR(VLOOKUP(A10,Tabla_Datos,2,FALSE),0)</f>
        <v>DEPARTAMENTOS</v>
      </c>
      <c r="C10" s="225"/>
      <c r="D10" s="226"/>
      <c r="E10" s="227"/>
      <c r="F10" s="430"/>
      <c r="G10" s="76"/>
    </row>
    <row r="11" spans="1:7" ht="20.100000000000001" customHeight="1" x14ac:dyDescent="0.25">
      <c r="A11" s="415">
        <v>1</v>
      </c>
      <c r="B11" s="387" t="str">
        <f>IFERROR(VLOOKUP(A11,Tabla_Datos,2,FALSE),0)</f>
        <v xml:space="preserve">TRABAJOS PRELIMINARES </v>
      </c>
      <c r="C11" s="388">
        <f>IFERROR(VLOOKUP(A11,Tabla_Datos,3,FALSE),0)</f>
        <v>0</v>
      </c>
      <c r="D11" s="416"/>
      <c r="E11" s="389">
        <f t="shared" ref="E11:E115" si="0">IFERROR(VLOOKUP(A11,Tabla_Comp_Presup,7,FALSE),0)</f>
        <v>0</v>
      </c>
      <c r="F11" s="417">
        <f>ROUND(D11*E11,15)</f>
        <v>0</v>
      </c>
      <c r="G11" s="428"/>
    </row>
    <row r="12" spans="1:7" ht="20.100000000000001" customHeight="1" x14ac:dyDescent="0.25">
      <c r="A12" s="415" t="s">
        <v>1281</v>
      </c>
      <c r="B12" s="387" t="str">
        <f t="shared" ref="B12" si="1">IFERROR(VLOOKUP(A12,Tabla_Datos,2,FALSE),0)</f>
        <v>Limpieza general, incluye desmalezamiento, demolición de construcciones existentes</v>
      </c>
      <c r="C12" s="388" t="str">
        <f t="shared" ref="C12:C115" si="2">IFERROR(VLOOKUP(A12,Tabla_Datos,3,FALSE),0)</f>
        <v>m2</v>
      </c>
      <c r="D12" s="416">
        <v>93.88</v>
      </c>
      <c r="E12" s="389">
        <f t="shared" si="0"/>
        <v>0</v>
      </c>
      <c r="F12" s="417">
        <f>ROUND(D12*E12,15)</f>
        <v>0</v>
      </c>
      <c r="G12" s="428"/>
    </row>
    <row r="13" spans="1:7" ht="20.100000000000001" customHeight="1" x14ac:dyDescent="0.25">
      <c r="A13" s="415">
        <v>2</v>
      </c>
      <c r="B13" s="387" t="str">
        <f t="shared" ref="B13:B41" si="3">IFERROR(VLOOKUP(A13,Tabla_Datos,2,FALSE),0)</f>
        <v>MOVIMIENTO DE SUELOS</v>
      </c>
      <c r="C13" s="388">
        <f t="shared" ref="C13:C41" si="4">IFERROR(VLOOKUP(A13,Tabla_Datos,3,FALSE),0)</f>
        <v>0</v>
      </c>
      <c r="D13" s="416"/>
      <c r="E13" s="389">
        <f t="shared" ref="E13:E41" si="5">IFERROR(VLOOKUP(A13,Tabla_Comp_Presup,7,FALSE),0)</f>
        <v>0</v>
      </c>
      <c r="F13" s="417">
        <f t="shared" ref="F13:F41" si="6">ROUND(D13*E13,15)</f>
        <v>0</v>
      </c>
      <c r="G13" s="428"/>
    </row>
    <row r="14" spans="1:7" ht="20.100000000000001" customHeight="1" x14ac:dyDescent="0.25">
      <c r="A14" s="415" t="s">
        <v>1282</v>
      </c>
      <c r="B14" s="387" t="str">
        <f t="shared" si="3"/>
        <v>Excavación para fundaciones</v>
      </c>
      <c r="C14" s="388" t="str">
        <f t="shared" si="4"/>
        <v>m3</v>
      </c>
      <c r="D14" s="416">
        <v>12.53</v>
      </c>
      <c r="E14" s="389">
        <f t="shared" si="5"/>
        <v>0</v>
      </c>
      <c r="F14" s="417">
        <f t="shared" si="6"/>
        <v>0</v>
      </c>
      <c r="G14" s="428"/>
    </row>
    <row r="15" spans="1:7" ht="20.100000000000001" customHeight="1" x14ac:dyDescent="0.25">
      <c r="A15" s="415" t="s">
        <v>1336</v>
      </c>
      <c r="B15" s="387" t="str">
        <f t="shared" si="3"/>
        <v>Excavacion de Subsuelo</v>
      </c>
      <c r="C15" s="388" t="str">
        <f t="shared" si="4"/>
        <v>m3</v>
      </c>
      <c r="D15" s="416">
        <v>110.78</v>
      </c>
      <c r="E15" s="389">
        <f t="shared" si="5"/>
        <v>0</v>
      </c>
      <c r="F15" s="417">
        <f t="shared" si="6"/>
        <v>0</v>
      </c>
      <c r="G15" s="428"/>
    </row>
    <row r="16" spans="1:7" ht="20.100000000000001" customHeight="1" x14ac:dyDescent="0.25">
      <c r="A16" s="415">
        <v>3</v>
      </c>
      <c r="B16" s="387" t="str">
        <f t="shared" si="3"/>
        <v>FUNDACIONES</v>
      </c>
      <c r="C16" s="388">
        <f t="shared" si="4"/>
        <v>0</v>
      </c>
      <c r="D16" s="416"/>
      <c r="E16" s="389">
        <f t="shared" si="5"/>
        <v>0</v>
      </c>
      <c r="F16" s="417">
        <f t="shared" si="6"/>
        <v>0</v>
      </c>
      <c r="G16" s="428"/>
    </row>
    <row r="17" spans="1:7" ht="20.100000000000001" customHeight="1" x14ac:dyDescent="0.25">
      <c r="A17" s="415" t="s">
        <v>1298</v>
      </c>
      <c r="B17" s="387" t="str">
        <f t="shared" si="3"/>
        <v>Hº - Bases aisladas y vigas de arriostramiento</v>
      </c>
      <c r="C17" s="388" t="str">
        <f t="shared" si="4"/>
        <v>m3</v>
      </c>
      <c r="D17" s="416">
        <v>11.99</v>
      </c>
      <c r="E17" s="389">
        <f t="shared" si="5"/>
        <v>0</v>
      </c>
      <c r="F17" s="417">
        <f t="shared" si="6"/>
        <v>0</v>
      </c>
      <c r="G17" s="428"/>
    </row>
    <row r="18" spans="1:7" ht="20.100000000000001" customHeight="1" x14ac:dyDescent="0.25">
      <c r="A18" s="415" t="s">
        <v>1299</v>
      </c>
      <c r="B18" s="387" t="str">
        <f t="shared" si="3"/>
        <v>Aº - Bases aisladas y vigas de arriostramiento</v>
      </c>
      <c r="C18" s="388" t="str">
        <f t="shared" si="4"/>
        <v>kg</v>
      </c>
      <c r="D18" s="416">
        <v>908.57</v>
      </c>
      <c r="E18" s="389">
        <f t="shared" si="5"/>
        <v>0</v>
      </c>
      <c r="F18" s="417">
        <f t="shared" si="6"/>
        <v>0</v>
      </c>
      <c r="G18" s="428"/>
    </row>
    <row r="19" spans="1:7" ht="20.100000000000001" customHeight="1" x14ac:dyDescent="0.25">
      <c r="A19" s="415">
        <v>4</v>
      </c>
      <c r="B19" s="387" t="str">
        <f t="shared" si="3"/>
        <v>ESTRUCTURA RESISTENTE</v>
      </c>
      <c r="C19" s="388">
        <f t="shared" si="4"/>
        <v>0</v>
      </c>
      <c r="D19" s="416"/>
      <c r="E19" s="389">
        <f t="shared" si="5"/>
        <v>0</v>
      </c>
      <c r="F19" s="417">
        <f t="shared" si="6"/>
        <v>0</v>
      </c>
      <c r="G19" s="428"/>
    </row>
    <row r="20" spans="1:7" ht="20.100000000000001" customHeight="1" x14ac:dyDescent="0.25">
      <c r="A20" s="415" t="s">
        <v>1300</v>
      </c>
      <c r="B20" s="387" t="str">
        <f t="shared" si="3"/>
        <v>Replanteo y niveles</v>
      </c>
      <c r="C20" s="388" t="str">
        <f t="shared" si="4"/>
        <v>gl</v>
      </c>
      <c r="D20" s="416">
        <v>4.08163E-2</v>
      </c>
      <c r="E20" s="389">
        <f t="shared" si="5"/>
        <v>0</v>
      </c>
      <c r="F20" s="417">
        <f t="shared" si="6"/>
        <v>0</v>
      </c>
      <c r="G20" s="428"/>
    </row>
    <row r="21" spans="1:7" ht="20.100000000000001" customHeight="1" x14ac:dyDescent="0.25">
      <c r="A21" s="415" t="s">
        <v>1301</v>
      </c>
      <c r="B21" s="387" t="str">
        <f t="shared" si="3"/>
        <v>Hormigon para Losas H-21</v>
      </c>
      <c r="C21" s="388" t="str">
        <f t="shared" si="4"/>
        <v>m3</v>
      </c>
      <c r="D21" s="416">
        <v>21.58</v>
      </c>
      <c r="E21" s="389">
        <f t="shared" si="5"/>
        <v>0</v>
      </c>
      <c r="F21" s="417">
        <f t="shared" si="6"/>
        <v>0</v>
      </c>
      <c r="G21" s="428"/>
    </row>
    <row r="22" spans="1:7" ht="20.100000000000001" customHeight="1" x14ac:dyDescent="0.25">
      <c r="A22" s="415" t="s">
        <v>1302</v>
      </c>
      <c r="B22" s="387" t="str">
        <f t="shared" si="3"/>
        <v>Hormigon resistente H-30</v>
      </c>
      <c r="C22" s="388" t="str">
        <f t="shared" si="4"/>
        <v>m3</v>
      </c>
      <c r="D22" s="416">
        <v>48.3</v>
      </c>
      <c r="E22" s="389">
        <f t="shared" si="5"/>
        <v>0</v>
      </c>
      <c r="F22" s="417">
        <f t="shared" si="6"/>
        <v>0</v>
      </c>
      <c r="G22" s="428"/>
    </row>
    <row r="23" spans="1:7" ht="20.100000000000001" customHeight="1" x14ac:dyDescent="0.25">
      <c r="A23" s="415" t="s">
        <v>1303</v>
      </c>
      <c r="B23" s="387" t="str">
        <f t="shared" si="3"/>
        <v>Hormigon para encadenados H-17</v>
      </c>
      <c r="C23" s="388" t="str">
        <f t="shared" si="4"/>
        <v>m3</v>
      </c>
      <c r="D23" s="416">
        <v>1.02</v>
      </c>
      <c r="E23" s="389">
        <f t="shared" si="5"/>
        <v>0</v>
      </c>
      <c r="F23" s="417">
        <f t="shared" si="6"/>
        <v>0</v>
      </c>
      <c r="G23" s="428"/>
    </row>
    <row r="24" spans="1:7" ht="20.100000000000001" customHeight="1" x14ac:dyDescent="0.25">
      <c r="A24" s="415" t="s">
        <v>1510</v>
      </c>
      <c r="B24" s="387" t="str">
        <f t="shared" ref="B24:B30" si="7">IFERROR(VLOOKUP(A24,Tabla_Datos,2,FALSE),0)</f>
        <v>Hormigon para escaleras exteriores</v>
      </c>
      <c r="C24" s="388" t="str">
        <f t="shared" ref="C24:C30" si="8">IFERROR(VLOOKUP(A24,Tabla_Datos,3,FALSE),0)</f>
        <v>m3</v>
      </c>
      <c r="D24" s="416">
        <v>0.25</v>
      </c>
      <c r="E24" s="389">
        <f t="shared" ref="E24:E30" si="9">IFERROR(VLOOKUP(A24,Tabla_Comp_Presup,7,FALSE),0)</f>
        <v>0</v>
      </c>
      <c r="F24" s="417">
        <f t="shared" ref="F24:F30" si="10">ROUND(D24*E24,15)</f>
        <v>0</v>
      </c>
      <c r="G24" s="428"/>
    </row>
    <row r="25" spans="1:7" ht="20.100000000000001" customHeight="1" x14ac:dyDescent="0.25">
      <c r="A25" s="415" t="s">
        <v>1511</v>
      </c>
      <c r="B25" s="387" t="str">
        <f t="shared" si="7"/>
        <v>Acero para losas</v>
      </c>
      <c r="C25" s="388" t="str">
        <f t="shared" si="8"/>
        <v>kg</v>
      </c>
      <c r="D25" s="416">
        <v>887.67</v>
      </c>
      <c r="E25" s="389">
        <f t="shared" si="9"/>
        <v>0</v>
      </c>
      <c r="F25" s="417">
        <f t="shared" si="10"/>
        <v>0</v>
      </c>
      <c r="G25" s="428"/>
    </row>
    <row r="26" spans="1:7" ht="20.100000000000001" customHeight="1" x14ac:dyDescent="0.25">
      <c r="A26" s="415" t="s">
        <v>1512</v>
      </c>
      <c r="B26" s="387" t="str">
        <f t="shared" si="7"/>
        <v>Acero para vigas</v>
      </c>
      <c r="C26" s="388" t="str">
        <f t="shared" si="8"/>
        <v>kg</v>
      </c>
      <c r="D26" s="416">
        <v>5366.96</v>
      </c>
      <c r="E26" s="389">
        <f t="shared" si="9"/>
        <v>0</v>
      </c>
      <c r="F26" s="417">
        <f t="shared" si="10"/>
        <v>0</v>
      </c>
      <c r="G26" s="428"/>
    </row>
    <row r="27" spans="1:7" ht="20.100000000000001" customHeight="1" x14ac:dyDescent="0.25">
      <c r="A27" s="415" t="s">
        <v>1513</v>
      </c>
      <c r="B27" s="387" t="str">
        <f t="shared" si="7"/>
        <v>Acero para columnas</v>
      </c>
      <c r="C27" s="388" t="str">
        <f t="shared" si="8"/>
        <v>kg</v>
      </c>
      <c r="D27" s="416">
        <v>2025.04</v>
      </c>
      <c r="E27" s="389">
        <f t="shared" si="9"/>
        <v>0</v>
      </c>
      <c r="F27" s="417">
        <f t="shared" si="10"/>
        <v>0</v>
      </c>
      <c r="G27" s="428"/>
    </row>
    <row r="28" spans="1:7" ht="20.100000000000001" customHeight="1" x14ac:dyDescent="0.25">
      <c r="A28" s="415" t="s">
        <v>1514</v>
      </c>
      <c r="B28" s="387" t="str">
        <f t="shared" si="7"/>
        <v>Acero para escaleras exteriores</v>
      </c>
      <c r="C28" s="388" t="str">
        <f t="shared" si="8"/>
        <v>kg</v>
      </c>
      <c r="D28" s="416">
        <v>50.02</v>
      </c>
      <c r="E28" s="389">
        <f t="shared" si="9"/>
        <v>0</v>
      </c>
      <c r="F28" s="417">
        <f t="shared" si="10"/>
        <v>0</v>
      </c>
      <c r="G28" s="428"/>
    </row>
    <row r="29" spans="1:7" ht="20.100000000000001" customHeight="1" x14ac:dyDescent="0.25">
      <c r="A29" s="415" t="s">
        <v>1515</v>
      </c>
      <c r="B29" s="387" t="str">
        <f t="shared" si="7"/>
        <v>estructura metalica de espacios comunes y chapa exterior</v>
      </c>
      <c r="C29" s="388" t="str">
        <f t="shared" si="8"/>
        <v>kg</v>
      </c>
      <c r="D29" s="416">
        <v>418.37</v>
      </c>
      <c r="E29" s="389">
        <f t="shared" si="9"/>
        <v>0</v>
      </c>
      <c r="F29" s="417">
        <f t="shared" si="10"/>
        <v>0</v>
      </c>
      <c r="G29" s="428"/>
    </row>
    <row r="30" spans="1:7" ht="20.100000000000001" customHeight="1" x14ac:dyDescent="0.25">
      <c r="A30" s="415" t="s">
        <v>1516</v>
      </c>
      <c r="B30" s="387" t="str">
        <f t="shared" si="7"/>
        <v>chapa lisa en gabinetes</v>
      </c>
      <c r="C30" s="388" t="str">
        <f t="shared" si="8"/>
        <v>kg</v>
      </c>
      <c r="D30" s="416">
        <v>4.49</v>
      </c>
      <c r="E30" s="389">
        <f t="shared" si="9"/>
        <v>0</v>
      </c>
      <c r="F30" s="417">
        <f t="shared" si="10"/>
        <v>0</v>
      </c>
      <c r="G30" s="428"/>
    </row>
    <row r="31" spans="1:7" ht="20.100000000000001" customHeight="1" x14ac:dyDescent="0.25">
      <c r="A31" s="415" t="s">
        <v>1519</v>
      </c>
      <c r="B31" s="387" t="str">
        <f t="shared" ref="B31" si="11">IFERROR(VLOOKUP(A31,Tabla_Datos,2,FALSE),0)</f>
        <v xml:space="preserve">chapa micro perforada </v>
      </c>
      <c r="C31" s="388" t="str">
        <f t="shared" ref="C31" si="12">IFERROR(VLOOKUP(A31,Tabla_Datos,3,FALSE),0)</f>
        <v>kg</v>
      </c>
      <c r="D31" s="416">
        <v>44.9</v>
      </c>
      <c r="E31" s="389">
        <f t="shared" ref="E31" si="13">IFERROR(VLOOKUP(A31,Tabla_Comp_Presup,7,FALSE),0)</f>
        <v>0</v>
      </c>
      <c r="F31" s="417">
        <f t="shared" ref="F31" si="14">ROUND(D31*E31,15)</f>
        <v>0</v>
      </c>
      <c r="G31" s="428"/>
    </row>
    <row r="32" spans="1:7" ht="20.100000000000001" customHeight="1" x14ac:dyDescent="0.25">
      <c r="A32" s="415">
        <v>5</v>
      </c>
      <c r="B32" s="387" t="str">
        <f t="shared" si="3"/>
        <v>ALBAÑILERÍA | CERRAMIENTOS VERTICALES</v>
      </c>
      <c r="C32" s="388">
        <f t="shared" si="4"/>
        <v>0</v>
      </c>
      <c r="D32" s="416"/>
      <c r="E32" s="389">
        <f t="shared" si="5"/>
        <v>0</v>
      </c>
      <c r="F32" s="417">
        <f t="shared" si="6"/>
        <v>0</v>
      </c>
      <c r="G32" s="428"/>
    </row>
    <row r="33" spans="1:7" ht="20.100000000000001" customHeight="1" x14ac:dyDescent="0.25">
      <c r="A33" s="415" t="s">
        <v>1304</v>
      </c>
      <c r="B33" s="387" t="str">
        <f t="shared" si="3"/>
        <v>Mampostería interior - Tabique Liviano</v>
      </c>
      <c r="C33" s="388" t="str">
        <f t="shared" si="4"/>
        <v>m2</v>
      </c>
      <c r="D33" s="416">
        <v>39.14</v>
      </c>
      <c r="E33" s="389">
        <f t="shared" si="5"/>
        <v>0</v>
      </c>
      <c r="F33" s="417">
        <f t="shared" si="6"/>
        <v>0</v>
      </c>
      <c r="G33" s="428"/>
    </row>
    <row r="34" spans="1:7" ht="20.100000000000001" customHeight="1" x14ac:dyDescent="0.25">
      <c r="A34" s="415" t="s">
        <v>1305</v>
      </c>
      <c r="B34" s="387" t="str">
        <f t="shared" si="3"/>
        <v>Mampostería exterior -  Muro de ladrillo ceramico hueco</v>
      </c>
      <c r="C34" s="388" t="str">
        <f t="shared" si="4"/>
        <v>m2</v>
      </c>
      <c r="D34" s="416">
        <v>68.64</v>
      </c>
      <c r="E34" s="389">
        <f t="shared" si="5"/>
        <v>0</v>
      </c>
      <c r="F34" s="417">
        <f t="shared" si="6"/>
        <v>0</v>
      </c>
      <c r="G34" s="428"/>
    </row>
    <row r="35" spans="1:7" ht="20.100000000000001" customHeight="1" x14ac:dyDescent="0.25">
      <c r="A35" s="415">
        <v>6</v>
      </c>
      <c r="B35" s="387" t="str">
        <f t="shared" si="3"/>
        <v>AISLACIONES Y REVOQUES</v>
      </c>
      <c r="C35" s="388">
        <f t="shared" si="4"/>
        <v>0</v>
      </c>
      <c r="D35" s="416"/>
      <c r="E35" s="389">
        <f t="shared" si="5"/>
        <v>0</v>
      </c>
      <c r="F35" s="417">
        <f t="shared" si="6"/>
        <v>0</v>
      </c>
      <c r="G35" s="428"/>
    </row>
    <row r="36" spans="1:7" ht="20.100000000000001" customHeight="1" x14ac:dyDescent="0.25">
      <c r="A36" s="415" t="s">
        <v>1306</v>
      </c>
      <c r="B36" s="387" t="str">
        <f t="shared" si="3"/>
        <v>Aislación hidrófuga horizontal en muros PB (cajón)</v>
      </c>
      <c r="C36" s="388" t="str">
        <f t="shared" si="4"/>
        <v>m2</v>
      </c>
      <c r="D36" s="416">
        <v>6.17</v>
      </c>
      <c r="E36" s="389">
        <f t="shared" si="5"/>
        <v>0</v>
      </c>
      <c r="F36" s="417">
        <f t="shared" si="6"/>
        <v>0</v>
      </c>
      <c r="G36" s="428"/>
    </row>
    <row r="37" spans="1:7" ht="20.100000000000001" customHeight="1" x14ac:dyDescent="0.25">
      <c r="A37" s="415" t="s">
        <v>1307</v>
      </c>
      <c r="B37" s="387" t="str">
        <f t="shared" si="3"/>
        <v>Revoque grueso bajo revestimiento en locales húmedos</v>
      </c>
      <c r="C37" s="388" t="str">
        <f t="shared" si="4"/>
        <v>m2</v>
      </c>
      <c r="D37" s="416">
        <v>4.7140000000000004</v>
      </c>
      <c r="E37" s="389">
        <f t="shared" si="5"/>
        <v>0</v>
      </c>
      <c r="F37" s="417">
        <f t="shared" si="6"/>
        <v>0</v>
      </c>
      <c r="G37" s="428"/>
    </row>
    <row r="38" spans="1:7" ht="20.100000000000001" customHeight="1" x14ac:dyDescent="0.25">
      <c r="A38" s="415" t="s">
        <v>1308</v>
      </c>
      <c r="B38" s="387" t="str">
        <f t="shared" si="3"/>
        <v xml:space="preserve">Revoque  y enlucido interior </v>
      </c>
      <c r="C38" s="388" t="str">
        <f t="shared" si="4"/>
        <v>m2</v>
      </c>
      <c r="D38" s="416">
        <v>81.757800000000003</v>
      </c>
      <c r="E38" s="389">
        <f t="shared" si="5"/>
        <v>0</v>
      </c>
      <c r="F38" s="417">
        <f t="shared" si="6"/>
        <v>0</v>
      </c>
      <c r="G38" s="428"/>
    </row>
    <row r="39" spans="1:7" ht="20.100000000000001" customHeight="1" x14ac:dyDescent="0.25">
      <c r="A39" s="415" t="s">
        <v>1309</v>
      </c>
      <c r="B39" s="387" t="str">
        <f t="shared" si="3"/>
        <v>Revoque exterior</v>
      </c>
      <c r="C39" s="388" t="str">
        <f t="shared" si="4"/>
        <v>m2</v>
      </c>
      <c r="D39" s="416">
        <v>63.398000000000003</v>
      </c>
      <c r="E39" s="389">
        <f t="shared" si="5"/>
        <v>0</v>
      </c>
      <c r="F39" s="417">
        <f t="shared" si="6"/>
        <v>0</v>
      </c>
      <c r="G39" s="428"/>
    </row>
    <row r="40" spans="1:7" ht="20.100000000000001" customHeight="1" x14ac:dyDescent="0.25">
      <c r="A40" s="415">
        <v>7</v>
      </c>
      <c r="B40" s="387" t="str">
        <f t="shared" si="3"/>
        <v>REVESTIMIENTOS</v>
      </c>
      <c r="C40" s="388">
        <f t="shared" si="4"/>
        <v>0</v>
      </c>
      <c r="D40" s="416"/>
      <c r="E40" s="389">
        <f t="shared" si="5"/>
        <v>0</v>
      </c>
      <c r="F40" s="417">
        <f t="shared" si="6"/>
        <v>0</v>
      </c>
      <c r="G40" s="428"/>
    </row>
    <row r="41" spans="1:7" ht="20.100000000000001" customHeight="1" x14ac:dyDescent="0.25">
      <c r="A41" s="415" t="s">
        <v>1310</v>
      </c>
      <c r="B41" s="387" t="str">
        <f t="shared" si="3"/>
        <v>Cerámico Cocina y baño</v>
      </c>
      <c r="C41" s="388" t="str">
        <f t="shared" si="4"/>
        <v>m2</v>
      </c>
      <c r="D41" s="416">
        <v>21.76</v>
      </c>
      <c r="E41" s="389">
        <f t="shared" si="5"/>
        <v>0</v>
      </c>
      <c r="F41" s="417">
        <f t="shared" si="6"/>
        <v>0</v>
      </c>
      <c r="G41" s="428"/>
    </row>
    <row r="42" spans="1:7" ht="20.100000000000001" customHeight="1" x14ac:dyDescent="0.25">
      <c r="A42" s="415">
        <v>8</v>
      </c>
      <c r="B42" s="387" t="str">
        <f t="shared" ref="B42:B97" si="15">IFERROR(VLOOKUP(A42,Tabla_Datos,2,FALSE),0)</f>
        <v>PINTURA</v>
      </c>
      <c r="C42" s="388">
        <f t="shared" ref="C42:C97" si="16">IFERROR(VLOOKUP(A42,Tabla_Datos,3,FALSE),0)</f>
        <v>0</v>
      </c>
      <c r="D42" s="416"/>
      <c r="E42" s="389">
        <f t="shared" ref="E42:E97" si="17">IFERROR(VLOOKUP(A42,Tabla_Comp_Presup,7,FALSE),0)</f>
        <v>0</v>
      </c>
      <c r="F42" s="417">
        <f t="shared" ref="F42:F97" si="18">ROUND(D42*E42,15)</f>
        <v>0</v>
      </c>
      <c r="G42" s="428"/>
    </row>
    <row r="43" spans="1:7" ht="20.100000000000001" customHeight="1" x14ac:dyDescent="0.25">
      <c r="A43" s="415" t="s">
        <v>1311</v>
      </c>
      <c r="B43" s="387" t="str">
        <f t="shared" si="15"/>
        <v>Pintura al látex en muros</v>
      </c>
      <c r="C43" s="388" t="str">
        <f t="shared" si="16"/>
        <v>m2</v>
      </c>
      <c r="D43" s="416">
        <v>160.03</v>
      </c>
      <c r="E43" s="389">
        <f t="shared" si="17"/>
        <v>0</v>
      </c>
      <c r="F43" s="417">
        <f t="shared" si="18"/>
        <v>0</v>
      </c>
      <c r="G43" s="428"/>
    </row>
    <row r="44" spans="1:7" ht="20.100000000000001" customHeight="1" x14ac:dyDescent="0.25">
      <c r="A44" s="415" t="s">
        <v>1312</v>
      </c>
      <c r="B44" s="387" t="str">
        <f t="shared" si="15"/>
        <v>Pintura al látex en cielorrasos</v>
      </c>
      <c r="C44" s="388" t="str">
        <f t="shared" si="16"/>
        <v>m2</v>
      </c>
      <c r="D44" s="416">
        <v>85.67</v>
      </c>
      <c r="E44" s="389">
        <f t="shared" si="17"/>
        <v>0</v>
      </c>
      <c r="F44" s="417">
        <f t="shared" si="18"/>
        <v>0</v>
      </c>
      <c r="G44" s="428"/>
    </row>
    <row r="45" spans="1:7" ht="20.100000000000001" customHeight="1" x14ac:dyDescent="0.25">
      <c r="A45" s="415" t="s">
        <v>1313</v>
      </c>
      <c r="B45" s="387" t="str">
        <f t="shared" si="15"/>
        <v xml:space="preserve">Pintura látex antihongos                                                                                                                                                                   </v>
      </c>
      <c r="C45" s="388" t="str">
        <f t="shared" si="16"/>
        <v>m2</v>
      </c>
      <c r="D45" s="416">
        <v>3.87</v>
      </c>
      <c r="E45" s="389">
        <f t="shared" si="17"/>
        <v>0</v>
      </c>
      <c r="F45" s="417">
        <f t="shared" si="18"/>
        <v>0</v>
      </c>
      <c r="G45" s="428"/>
    </row>
    <row r="46" spans="1:7" ht="20.100000000000001" customHeight="1" x14ac:dyDescent="0.25">
      <c r="A46" s="415" t="s">
        <v>1314</v>
      </c>
      <c r="B46" s="387" t="str">
        <f t="shared" si="15"/>
        <v>Pintura al látex exterioren muros</v>
      </c>
      <c r="C46" s="388" t="str">
        <f t="shared" si="16"/>
        <v>m2</v>
      </c>
      <c r="D46" s="416">
        <v>63.36</v>
      </c>
      <c r="E46" s="389">
        <f t="shared" si="17"/>
        <v>0</v>
      </c>
      <c r="F46" s="417">
        <f t="shared" si="18"/>
        <v>0</v>
      </c>
      <c r="G46" s="428"/>
    </row>
    <row r="47" spans="1:7" ht="20.100000000000001" customHeight="1" x14ac:dyDescent="0.25">
      <c r="A47" s="415" t="s">
        <v>1315</v>
      </c>
      <c r="B47" s="387" t="str">
        <f t="shared" si="15"/>
        <v>Pintura esmalte sintético carpinterías de chapa</v>
      </c>
      <c r="C47" s="388" t="str">
        <f t="shared" si="16"/>
        <v>gl</v>
      </c>
      <c r="D47" s="416">
        <v>1</v>
      </c>
      <c r="E47" s="389">
        <f t="shared" si="17"/>
        <v>0</v>
      </c>
      <c r="F47" s="417">
        <f t="shared" si="18"/>
        <v>0</v>
      </c>
      <c r="G47" s="428"/>
    </row>
    <row r="48" spans="1:7" ht="20.100000000000001" customHeight="1" x14ac:dyDescent="0.25">
      <c r="A48" s="415" t="s">
        <v>1316</v>
      </c>
      <c r="B48" s="387" t="str">
        <f t="shared" si="15"/>
        <v>Pintura esmalte sintético carpinterías de madera</v>
      </c>
      <c r="C48" s="388" t="str">
        <f t="shared" si="16"/>
        <v>gl</v>
      </c>
      <c r="D48" s="416">
        <v>1</v>
      </c>
      <c r="E48" s="389">
        <f t="shared" si="17"/>
        <v>0</v>
      </c>
      <c r="F48" s="417">
        <f t="shared" si="18"/>
        <v>0</v>
      </c>
      <c r="G48" s="428"/>
    </row>
    <row r="49" spans="1:7" ht="20.100000000000001" customHeight="1" x14ac:dyDescent="0.25">
      <c r="A49" s="415">
        <v>9</v>
      </c>
      <c r="B49" s="387" t="str">
        <f t="shared" si="15"/>
        <v>CONTRAPISOS y CARPETAS</v>
      </c>
      <c r="C49" s="388">
        <f t="shared" si="16"/>
        <v>0</v>
      </c>
      <c r="D49" s="416"/>
      <c r="E49" s="389">
        <f t="shared" si="17"/>
        <v>0</v>
      </c>
      <c r="F49" s="417">
        <f t="shared" si="18"/>
        <v>0</v>
      </c>
      <c r="G49" s="428"/>
    </row>
    <row r="50" spans="1:7" ht="20.100000000000001" customHeight="1" x14ac:dyDescent="0.25">
      <c r="A50" s="415" t="s">
        <v>1328</v>
      </c>
      <c r="B50" s="387" t="str">
        <f t="shared" si="15"/>
        <v xml:space="preserve">Contrapiso sobre losa de HºPº esp= 8cm </v>
      </c>
      <c r="C50" s="388" t="str">
        <f t="shared" si="16"/>
        <v>m2</v>
      </c>
      <c r="D50" s="416">
        <v>137.35</v>
      </c>
      <c r="E50" s="389">
        <f t="shared" si="17"/>
        <v>0</v>
      </c>
      <c r="F50" s="417">
        <f t="shared" si="18"/>
        <v>0</v>
      </c>
      <c r="G50" s="428"/>
    </row>
    <row r="51" spans="1:7" ht="20.100000000000001" customHeight="1" x14ac:dyDescent="0.25">
      <c r="A51" s="415" t="s">
        <v>1329</v>
      </c>
      <c r="B51" s="387" t="str">
        <f t="shared" si="15"/>
        <v>Contrapiso para terrazas o azoteas con pendiente según documentación de Proyecto</v>
      </c>
      <c r="C51" s="388" t="str">
        <f t="shared" si="16"/>
        <v>m2</v>
      </c>
      <c r="D51" s="416">
        <v>4.59</v>
      </c>
      <c r="E51" s="389">
        <f t="shared" si="17"/>
        <v>0</v>
      </c>
      <c r="F51" s="417">
        <f t="shared" si="18"/>
        <v>0</v>
      </c>
      <c r="G51" s="428"/>
    </row>
    <row r="52" spans="1:7" ht="20.100000000000001" customHeight="1" x14ac:dyDescent="0.25">
      <c r="A52" s="415" t="s">
        <v>1330</v>
      </c>
      <c r="B52" s="387" t="str">
        <f t="shared" si="15"/>
        <v>Banquina bajo mueble de cocina</v>
      </c>
      <c r="C52" s="388" t="str">
        <f t="shared" si="16"/>
        <v>m2</v>
      </c>
      <c r="D52" s="416">
        <v>1.79</v>
      </c>
      <c r="E52" s="389">
        <f t="shared" si="17"/>
        <v>0</v>
      </c>
      <c r="F52" s="417">
        <f t="shared" si="18"/>
        <v>0</v>
      </c>
      <c r="G52" s="428"/>
    </row>
    <row r="53" spans="1:7" ht="20.100000000000001" customHeight="1" x14ac:dyDescent="0.25">
      <c r="A53" s="415" t="s">
        <v>1331</v>
      </c>
      <c r="B53" s="387" t="str">
        <f t="shared" si="15"/>
        <v xml:space="preserve">Carpeta bajo ceramico </v>
      </c>
      <c r="C53" s="388" t="str">
        <f t="shared" si="16"/>
        <v>m2</v>
      </c>
      <c r="D53" s="416">
        <v>85.67</v>
      </c>
      <c r="E53" s="389">
        <f t="shared" si="17"/>
        <v>0</v>
      </c>
      <c r="F53" s="417">
        <f t="shared" si="18"/>
        <v>0</v>
      </c>
      <c r="G53" s="428"/>
    </row>
    <row r="54" spans="1:7" ht="20.100000000000001" customHeight="1" x14ac:dyDescent="0.25">
      <c r="A54" s="415">
        <v>10</v>
      </c>
      <c r="B54" s="387" t="str">
        <f t="shared" si="15"/>
        <v xml:space="preserve">PISOS Y ZOCALOS </v>
      </c>
      <c r="C54" s="388">
        <f t="shared" si="16"/>
        <v>0</v>
      </c>
      <c r="D54" s="416"/>
      <c r="E54" s="389">
        <f t="shared" si="17"/>
        <v>0</v>
      </c>
      <c r="F54" s="417">
        <f t="shared" si="18"/>
        <v>0</v>
      </c>
      <c r="G54" s="428"/>
    </row>
    <row r="55" spans="1:7" ht="20.100000000000001" customHeight="1" x14ac:dyDescent="0.25">
      <c r="A55" s="415" t="s">
        <v>1332</v>
      </c>
      <c r="B55" s="387" t="str">
        <f t="shared" si="15"/>
        <v>Piso ceramico de primera calidad</v>
      </c>
      <c r="C55" s="388" t="str">
        <f t="shared" si="16"/>
        <v>m2</v>
      </c>
      <c r="D55" s="416">
        <v>85.676500000000004</v>
      </c>
      <c r="E55" s="389">
        <f t="shared" si="17"/>
        <v>0</v>
      </c>
      <c r="F55" s="417">
        <f t="shared" si="18"/>
        <v>0</v>
      </c>
      <c r="G55" s="428"/>
    </row>
    <row r="56" spans="1:7" ht="20.100000000000001" customHeight="1" x14ac:dyDescent="0.25">
      <c r="A56" s="415" t="s">
        <v>1333</v>
      </c>
      <c r="B56" s="387" t="str">
        <f t="shared" si="15"/>
        <v>Zocalo ceramico</v>
      </c>
      <c r="C56" s="388" t="str">
        <f t="shared" si="16"/>
        <v>ml</v>
      </c>
      <c r="D56" s="416">
        <v>70.77</v>
      </c>
      <c r="E56" s="389">
        <f t="shared" si="17"/>
        <v>0</v>
      </c>
      <c r="F56" s="417">
        <f t="shared" si="18"/>
        <v>0</v>
      </c>
      <c r="G56" s="428"/>
    </row>
    <row r="57" spans="1:7" ht="20.100000000000001" customHeight="1" x14ac:dyDescent="0.25">
      <c r="A57" s="415">
        <v>11</v>
      </c>
      <c r="B57" s="387" t="str">
        <f t="shared" si="15"/>
        <v xml:space="preserve">CIELORRASOS  </v>
      </c>
      <c r="C57" s="388">
        <f t="shared" si="16"/>
        <v>0</v>
      </c>
      <c r="D57" s="416"/>
      <c r="E57" s="389">
        <f t="shared" si="17"/>
        <v>0</v>
      </c>
      <c r="F57" s="417">
        <f t="shared" si="18"/>
        <v>0</v>
      </c>
      <c r="G57" s="428"/>
    </row>
    <row r="58" spans="1:7" ht="20.100000000000001" customHeight="1" x14ac:dyDescent="0.25">
      <c r="A58" s="415" t="s">
        <v>1334</v>
      </c>
      <c r="B58" s="387" t="str">
        <f t="shared" si="15"/>
        <v>Cielorraso aplicado enlucido de yeso</v>
      </c>
      <c r="C58" s="388" t="str">
        <f t="shared" si="16"/>
        <v>m2</v>
      </c>
      <c r="D58" s="416">
        <v>85.676000000000002</v>
      </c>
      <c r="E58" s="389">
        <f t="shared" si="17"/>
        <v>0</v>
      </c>
      <c r="F58" s="417">
        <f t="shared" si="18"/>
        <v>0</v>
      </c>
      <c r="G58" s="428"/>
    </row>
    <row r="59" spans="1:7" ht="20.100000000000001" customHeight="1" x14ac:dyDescent="0.25">
      <c r="A59" s="415" t="s">
        <v>1335</v>
      </c>
      <c r="B59" s="387" t="str">
        <f t="shared" si="15"/>
        <v>Suspendidos de placa de roca de yeso resistente a la humedad ( con proteccion acustica)</v>
      </c>
      <c r="C59" s="388" t="str">
        <f t="shared" si="16"/>
        <v>m2</v>
      </c>
      <c r="D59" s="416">
        <v>3.8769999999999998</v>
      </c>
      <c r="E59" s="389">
        <f t="shared" si="17"/>
        <v>0</v>
      </c>
      <c r="F59" s="417">
        <f t="shared" si="18"/>
        <v>0</v>
      </c>
      <c r="G59" s="428"/>
    </row>
    <row r="60" spans="1:7" ht="20.100000000000001" customHeight="1" x14ac:dyDescent="0.25">
      <c r="A60" s="415">
        <v>12</v>
      </c>
      <c r="B60" s="387" t="str">
        <f t="shared" si="15"/>
        <v xml:space="preserve">CUBIERTA </v>
      </c>
      <c r="C60" s="388">
        <f t="shared" si="16"/>
        <v>0</v>
      </c>
      <c r="D60" s="416"/>
      <c r="E60" s="389">
        <f t="shared" si="17"/>
        <v>0</v>
      </c>
      <c r="F60" s="417">
        <f t="shared" si="18"/>
        <v>0</v>
      </c>
      <c r="G60" s="428"/>
    </row>
    <row r="61" spans="1:7" ht="20.100000000000001" customHeight="1" x14ac:dyDescent="0.25">
      <c r="A61" s="415" t="s">
        <v>1386</v>
      </c>
      <c r="B61" s="387" t="str">
        <f t="shared" si="15"/>
        <v>Hormigón Liviano con Pendiente | esp min 5 cm</v>
      </c>
      <c r="C61" s="388" t="str">
        <f t="shared" si="16"/>
        <v>m2</v>
      </c>
      <c r="D61" s="416">
        <v>17.13</v>
      </c>
      <c r="E61" s="389">
        <f t="shared" si="17"/>
        <v>0</v>
      </c>
      <c r="F61" s="417">
        <f t="shared" si="18"/>
        <v>0</v>
      </c>
      <c r="G61" s="428"/>
    </row>
    <row r="62" spans="1:7" ht="20.100000000000001" customHeight="1" x14ac:dyDescent="0.25">
      <c r="A62" s="415" t="s">
        <v>1387</v>
      </c>
      <c r="B62" s="387" t="str">
        <f t="shared" si="15"/>
        <v>Pintura asfáltica para imprimación de membrana</v>
      </c>
      <c r="C62" s="388" t="str">
        <f t="shared" si="16"/>
        <v>m2</v>
      </c>
      <c r="D62" s="416">
        <v>17.13</v>
      </c>
      <c r="E62" s="389">
        <f t="shared" si="17"/>
        <v>0</v>
      </c>
      <c r="F62" s="417">
        <f t="shared" si="18"/>
        <v>0</v>
      </c>
      <c r="G62" s="428"/>
    </row>
    <row r="63" spans="1:7" ht="20.100000000000001" customHeight="1" x14ac:dyDescent="0.25">
      <c r="A63" s="415" t="s">
        <v>1388</v>
      </c>
      <c r="B63" s="387" t="str">
        <f t="shared" si="15"/>
        <v>Membrana Asfáltica 4mm terminación aluminio gofrado de 40 micrones</v>
      </c>
      <c r="C63" s="388" t="str">
        <f t="shared" si="16"/>
        <v>m2</v>
      </c>
      <c r="D63" s="416">
        <v>17.13</v>
      </c>
      <c r="E63" s="389">
        <f t="shared" si="17"/>
        <v>0</v>
      </c>
      <c r="F63" s="417">
        <f t="shared" si="18"/>
        <v>0</v>
      </c>
      <c r="G63" s="428"/>
    </row>
    <row r="64" spans="1:7" ht="20.100000000000001" customHeight="1" x14ac:dyDescent="0.25">
      <c r="A64" s="415">
        <v>13</v>
      </c>
      <c r="B64" s="387" t="str">
        <f t="shared" si="15"/>
        <v>CARPINTERIAS</v>
      </c>
      <c r="C64" s="388">
        <f t="shared" si="16"/>
        <v>0</v>
      </c>
      <c r="D64" s="416"/>
      <c r="E64" s="389">
        <f t="shared" si="17"/>
        <v>0</v>
      </c>
      <c r="F64" s="417">
        <f t="shared" si="18"/>
        <v>0</v>
      </c>
      <c r="G64" s="428"/>
    </row>
    <row r="65" spans="1:7" ht="20.100000000000001" customHeight="1" x14ac:dyDescent="0.25">
      <c r="A65" s="415" t="s">
        <v>1389</v>
      </c>
      <c r="B65" s="387" t="str">
        <f t="shared" si="15"/>
        <v>Carpinterías interiores de madera</v>
      </c>
      <c r="C65" s="388" t="str">
        <f t="shared" si="16"/>
        <v>u</v>
      </c>
      <c r="D65" s="416">
        <v>3.0612200000000001</v>
      </c>
      <c r="E65" s="389">
        <f t="shared" si="17"/>
        <v>0</v>
      </c>
      <c r="F65" s="417">
        <f t="shared" si="18"/>
        <v>0</v>
      </c>
      <c r="G65" s="428"/>
    </row>
    <row r="66" spans="1:7" ht="20.100000000000001" customHeight="1" x14ac:dyDescent="0.25">
      <c r="A66" s="415" t="s">
        <v>1390</v>
      </c>
      <c r="B66" s="387" t="str">
        <f t="shared" si="15"/>
        <v>Puerta de ingreso a vivienda (2.05 x 0.9)</v>
      </c>
      <c r="C66" s="388" t="str">
        <f t="shared" si="16"/>
        <v>u</v>
      </c>
      <c r="D66" s="416">
        <v>1.020408</v>
      </c>
      <c r="E66" s="389">
        <f t="shared" si="17"/>
        <v>0</v>
      </c>
      <c r="F66" s="417">
        <f t="shared" si="18"/>
        <v>0</v>
      </c>
      <c r="G66" s="428"/>
    </row>
    <row r="67" spans="1:7" ht="20.100000000000001" customHeight="1" x14ac:dyDescent="0.25">
      <c r="A67" s="415" t="s">
        <v>1391</v>
      </c>
      <c r="B67" s="387" t="str">
        <f t="shared" si="15"/>
        <v>Ventanas Tipo C02(2,40 x 1,55)</v>
      </c>
      <c r="C67" s="388" t="str">
        <f t="shared" si="16"/>
        <v>u</v>
      </c>
      <c r="D67" s="416">
        <v>1.020408</v>
      </c>
      <c r="E67" s="389">
        <f t="shared" si="17"/>
        <v>0</v>
      </c>
      <c r="F67" s="417">
        <f t="shared" si="18"/>
        <v>0</v>
      </c>
      <c r="G67" s="428"/>
    </row>
    <row r="68" spans="1:7" ht="20.100000000000001" customHeight="1" x14ac:dyDescent="0.25">
      <c r="A68" s="415" t="s">
        <v>1392</v>
      </c>
      <c r="B68" s="387" t="str">
        <f t="shared" si="15"/>
        <v>Ventanas Tipo C05 (1,20 x 1,55)</v>
      </c>
      <c r="C68" s="388" t="str">
        <f t="shared" si="16"/>
        <v>u</v>
      </c>
      <c r="D68" s="416">
        <v>3.0612249999999999</v>
      </c>
      <c r="E68" s="389">
        <f t="shared" si="17"/>
        <v>0</v>
      </c>
      <c r="F68" s="417">
        <f t="shared" si="18"/>
        <v>0</v>
      </c>
      <c r="G68" s="428"/>
    </row>
    <row r="69" spans="1:7" ht="20.100000000000001" customHeight="1" x14ac:dyDescent="0.25">
      <c r="A69" s="415">
        <v>14</v>
      </c>
      <c r="B69" s="387" t="str">
        <f t="shared" si="15"/>
        <v>MARMOLERÍA</v>
      </c>
      <c r="C69" s="388">
        <f t="shared" si="16"/>
        <v>0</v>
      </c>
      <c r="D69" s="416"/>
      <c r="E69" s="389">
        <f t="shared" si="17"/>
        <v>0</v>
      </c>
      <c r="F69" s="417">
        <f t="shared" si="18"/>
        <v>0</v>
      </c>
      <c r="G69" s="428"/>
    </row>
    <row r="70" spans="1:7" ht="20.100000000000001" customHeight="1" x14ac:dyDescent="0.25">
      <c r="A70" s="415" t="s">
        <v>1393</v>
      </c>
      <c r="B70" s="387" t="str">
        <f t="shared" si="15"/>
        <v>Mesada de cocina en granito</v>
      </c>
      <c r="C70" s="388" t="str">
        <f t="shared" si="16"/>
        <v>m2</v>
      </c>
      <c r="D70" s="416">
        <v>1.6326499999999999</v>
      </c>
      <c r="E70" s="389">
        <f t="shared" si="17"/>
        <v>0</v>
      </c>
      <c r="F70" s="417">
        <f t="shared" si="18"/>
        <v>0</v>
      </c>
      <c r="G70" s="428"/>
    </row>
    <row r="71" spans="1:7" ht="20.100000000000001" customHeight="1" x14ac:dyDescent="0.25">
      <c r="A71" s="415">
        <v>15</v>
      </c>
      <c r="B71" s="387" t="str">
        <f t="shared" si="15"/>
        <v>INSTALACIÓN ELÉCTRICA</v>
      </c>
      <c r="C71" s="388">
        <f t="shared" si="16"/>
        <v>0</v>
      </c>
      <c r="D71" s="416"/>
      <c r="E71" s="389">
        <f t="shared" si="17"/>
        <v>0</v>
      </c>
      <c r="F71" s="417">
        <f t="shared" si="18"/>
        <v>0</v>
      </c>
      <c r="G71" s="428"/>
    </row>
    <row r="72" spans="1:7" ht="20.100000000000001" customHeight="1" x14ac:dyDescent="0.25">
      <c r="A72" s="415" t="s">
        <v>1394</v>
      </c>
      <c r="B72" s="387" t="str">
        <f t="shared" si="15"/>
        <v>Instalación eléctrica</v>
      </c>
      <c r="C72" s="388" t="str">
        <f t="shared" si="16"/>
        <v>gl</v>
      </c>
      <c r="D72" s="416">
        <v>1</v>
      </c>
      <c r="E72" s="389">
        <f t="shared" si="17"/>
        <v>0</v>
      </c>
      <c r="F72" s="417">
        <f t="shared" si="18"/>
        <v>0</v>
      </c>
      <c r="G72" s="428"/>
    </row>
    <row r="73" spans="1:7" ht="20.100000000000001" customHeight="1" x14ac:dyDescent="0.25">
      <c r="A73" s="415" t="s">
        <v>1395</v>
      </c>
      <c r="B73" s="387" t="str">
        <f t="shared" si="15"/>
        <v>Tablero principal</v>
      </c>
      <c r="C73" s="388" t="str">
        <f t="shared" si="16"/>
        <v>gl</v>
      </c>
      <c r="D73" s="416">
        <v>1</v>
      </c>
      <c r="E73" s="389">
        <f t="shared" si="17"/>
        <v>0</v>
      </c>
      <c r="F73" s="417">
        <f t="shared" si="18"/>
        <v>0</v>
      </c>
      <c r="G73" s="428"/>
    </row>
    <row r="74" spans="1:7" ht="20.100000000000001" customHeight="1" x14ac:dyDescent="0.25">
      <c r="A74" s="415" t="s">
        <v>1396</v>
      </c>
      <c r="B74" s="387" t="str">
        <f t="shared" si="15"/>
        <v>Tablero secundarios</v>
      </c>
      <c r="C74" s="388" t="str">
        <f t="shared" si="16"/>
        <v>gl</v>
      </c>
      <c r="D74" s="416">
        <v>1</v>
      </c>
      <c r="E74" s="389">
        <f t="shared" si="17"/>
        <v>0</v>
      </c>
      <c r="F74" s="417">
        <f t="shared" si="18"/>
        <v>0</v>
      </c>
      <c r="G74" s="428"/>
    </row>
    <row r="75" spans="1:7" ht="20.100000000000001" customHeight="1" x14ac:dyDescent="0.25">
      <c r="A75" s="415" t="s">
        <v>1397</v>
      </c>
      <c r="B75" s="387" t="str">
        <f t="shared" si="15"/>
        <v>Bocas iluminación UF</v>
      </c>
      <c r="C75" s="388" t="str">
        <f t="shared" si="16"/>
        <v>gl</v>
      </c>
      <c r="D75" s="416">
        <v>1</v>
      </c>
      <c r="E75" s="389">
        <f t="shared" si="17"/>
        <v>0</v>
      </c>
      <c r="F75" s="417">
        <f t="shared" si="18"/>
        <v>0</v>
      </c>
      <c r="G75" s="428"/>
    </row>
    <row r="76" spans="1:7" ht="20.100000000000001" customHeight="1" x14ac:dyDescent="0.25">
      <c r="A76" s="415" t="s">
        <v>1398</v>
      </c>
      <c r="B76" s="387" t="str">
        <f t="shared" si="15"/>
        <v>Bocas iluminación Uc</v>
      </c>
      <c r="C76" s="388" t="str">
        <f t="shared" si="16"/>
        <v>gl</v>
      </c>
      <c r="D76" s="416">
        <v>1</v>
      </c>
      <c r="E76" s="389">
        <f t="shared" si="17"/>
        <v>0</v>
      </c>
      <c r="F76" s="417">
        <f t="shared" si="18"/>
        <v>0</v>
      </c>
      <c r="G76" s="428"/>
    </row>
    <row r="77" spans="1:7" ht="20.100000000000001" customHeight="1" x14ac:dyDescent="0.25">
      <c r="A77" s="415" t="s">
        <v>1399</v>
      </c>
      <c r="B77" s="387" t="str">
        <f t="shared" si="15"/>
        <v>Boca toma corriente uso común</v>
      </c>
      <c r="C77" s="388" t="str">
        <f t="shared" si="16"/>
        <v>gl</v>
      </c>
      <c r="D77" s="416">
        <v>1</v>
      </c>
      <c r="E77" s="389">
        <f t="shared" si="17"/>
        <v>0</v>
      </c>
      <c r="F77" s="417">
        <f t="shared" si="18"/>
        <v>0</v>
      </c>
      <c r="G77" s="428"/>
    </row>
    <row r="78" spans="1:7" ht="20.100000000000001" customHeight="1" x14ac:dyDescent="0.25">
      <c r="A78" s="415" t="s">
        <v>1400</v>
      </c>
      <c r="B78" s="387" t="str">
        <f t="shared" si="15"/>
        <v>Llaves</v>
      </c>
      <c r="C78" s="388" t="str">
        <f t="shared" si="16"/>
        <v>gl</v>
      </c>
      <c r="D78" s="416">
        <v>1</v>
      </c>
      <c r="E78" s="389">
        <f t="shared" si="17"/>
        <v>0</v>
      </c>
      <c r="F78" s="417">
        <f t="shared" si="18"/>
        <v>0</v>
      </c>
      <c r="G78" s="428"/>
    </row>
    <row r="79" spans="1:7" ht="20.100000000000001" customHeight="1" x14ac:dyDescent="0.25">
      <c r="A79" s="415" t="s">
        <v>1401</v>
      </c>
      <c r="B79" s="387" t="str">
        <f t="shared" si="15"/>
        <v xml:space="preserve">Boca teléfono, timbre, TV y portero </v>
      </c>
      <c r="C79" s="388" t="str">
        <f t="shared" si="16"/>
        <v>gl</v>
      </c>
      <c r="D79" s="416">
        <v>1</v>
      </c>
      <c r="E79" s="389">
        <f t="shared" si="17"/>
        <v>0</v>
      </c>
      <c r="F79" s="417">
        <f t="shared" si="18"/>
        <v>0</v>
      </c>
      <c r="G79" s="428"/>
    </row>
    <row r="80" spans="1:7" ht="20.100000000000001" customHeight="1" x14ac:dyDescent="0.25">
      <c r="A80" s="415" t="s">
        <v>1402</v>
      </c>
      <c r="B80" s="387" t="str">
        <f t="shared" si="15"/>
        <v>Instalacion equipo luz de emergencia en espacios comunes</v>
      </c>
      <c r="C80" s="388" t="str">
        <f t="shared" si="16"/>
        <v>gl</v>
      </c>
      <c r="D80" s="416">
        <v>1</v>
      </c>
      <c r="E80" s="389">
        <f t="shared" si="17"/>
        <v>0</v>
      </c>
      <c r="F80" s="417">
        <f t="shared" si="18"/>
        <v>0</v>
      </c>
      <c r="G80" s="428"/>
    </row>
    <row r="81" spans="1:7" ht="20.100000000000001" customHeight="1" x14ac:dyDescent="0.25">
      <c r="A81" s="415" t="s">
        <v>1403</v>
      </c>
      <c r="B81" s="387" t="str">
        <f t="shared" si="15"/>
        <v>Servicios generales / pat</v>
      </c>
      <c r="C81" s="388" t="str">
        <f t="shared" si="16"/>
        <v>gl</v>
      </c>
      <c r="D81" s="416">
        <v>1</v>
      </c>
      <c r="E81" s="389">
        <f t="shared" si="17"/>
        <v>0</v>
      </c>
      <c r="F81" s="417">
        <f t="shared" si="18"/>
        <v>0</v>
      </c>
      <c r="G81" s="428"/>
    </row>
    <row r="82" spans="1:7" ht="20.100000000000001" customHeight="1" x14ac:dyDescent="0.25">
      <c r="A82" s="415" t="s">
        <v>1404</v>
      </c>
      <c r="B82" s="387" t="str">
        <f t="shared" si="15"/>
        <v>Instalación aire acondicionado</v>
      </c>
      <c r="C82" s="388" t="str">
        <f t="shared" si="16"/>
        <v>gl</v>
      </c>
      <c r="D82" s="416">
        <v>1</v>
      </c>
      <c r="E82" s="389">
        <f t="shared" si="17"/>
        <v>0</v>
      </c>
      <c r="F82" s="417">
        <f t="shared" si="18"/>
        <v>0</v>
      </c>
      <c r="G82" s="428"/>
    </row>
    <row r="83" spans="1:7" ht="20.100000000000001" customHeight="1" x14ac:dyDescent="0.25">
      <c r="A83" s="415" t="s">
        <v>1405</v>
      </c>
      <c r="B83" s="387" t="str">
        <f t="shared" si="15"/>
        <v xml:space="preserve">Artefactos en locales comunes </v>
      </c>
      <c r="C83" s="388" t="str">
        <f t="shared" si="16"/>
        <v>gl</v>
      </c>
      <c r="D83" s="416">
        <v>1</v>
      </c>
      <c r="E83" s="389">
        <f t="shared" si="17"/>
        <v>0</v>
      </c>
      <c r="F83" s="417">
        <f t="shared" si="18"/>
        <v>0</v>
      </c>
      <c r="G83" s="428"/>
    </row>
    <row r="84" spans="1:7" ht="20.100000000000001" customHeight="1" x14ac:dyDescent="0.25">
      <c r="A84" s="415" t="s">
        <v>1406</v>
      </c>
      <c r="B84" s="387" t="str">
        <f t="shared" si="15"/>
        <v>Canalizacion y cableado de comando calefon solar</v>
      </c>
      <c r="C84" s="388" t="str">
        <f t="shared" si="16"/>
        <v>gl</v>
      </c>
      <c r="D84" s="416">
        <v>1</v>
      </c>
      <c r="E84" s="389">
        <f t="shared" si="17"/>
        <v>0</v>
      </c>
      <c r="F84" s="417">
        <f t="shared" si="18"/>
        <v>0</v>
      </c>
      <c r="G84" s="428"/>
    </row>
    <row r="85" spans="1:7" ht="20.100000000000001" customHeight="1" x14ac:dyDescent="0.25">
      <c r="A85" s="415">
        <v>16</v>
      </c>
      <c r="B85" s="387" t="str">
        <f t="shared" si="15"/>
        <v>INSTALACIÓN SANITARIA</v>
      </c>
      <c r="C85" s="388">
        <f t="shared" si="16"/>
        <v>0</v>
      </c>
      <c r="D85" s="416"/>
      <c r="E85" s="389">
        <f t="shared" si="17"/>
        <v>0</v>
      </c>
      <c r="F85" s="417">
        <f t="shared" si="18"/>
        <v>0</v>
      </c>
      <c r="G85" s="428"/>
    </row>
    <row r="86" spans="1:7" ht="20.100000000000001" customHeight="1" x14ac:dyDescent="0.25">
      <c r="A86" s="415" t="s">
        <v>1407</v>
      </c>
      <c r="B86" s="387" t="str">
        <f t="shared" si="15"/>
        <v>Instalación agua fría y caliente</v>
      </c>
      <c r="C86" s="388" t="str">
        <f t="shared" si="16"/>
        <v>gl</v>
      </c>
      <c r="D86" s="416">
        <v>1</v>
      </c>
      <c r="E86" s="389">
        <f t="shared" si="17"/>
        <v>0</v>
      </c>
      <c r="F86" s="417">
        <f t="shared" si="18"/>
        <v>0</v>
      </c>
      <c r="G86" s="428"/>
    </row>
    <row r="87" spans="1:7" ht="20.100000000000001" customHeight="1" x14ac:dyDescent="0.25">
      <c r="A87" s="415" t="s">
        <v>1408</v>
      </c>
      <c r="B87" s="387" t="str">
        <f t="shared" si="15"/>
        <v>Desagües Cloacales</v>
      </c>
      <c r="C87" s="388" t="str">
        <f t="shared" si="16"/>
        <v>gl</v>
      </c>
      <c r="D87" s="416">
        <v>1</v>
      </c>
      <c r="E87" s="389">
        <f t="shared" si="17"/>
        <v>0</v>
      </c>
      <c r="F87" s="417">
        <f t="shared" si="18"/>
        <v>0</v>
      </c>
      <c r="G87" s="428"/>
    </row>
    <row r="88" spans="1:7" ht="20.100000000000001" customHeight="1" x14ac:dyDescent="0.25">
      <c r="A88" s="415" t="s">
        <v>1409</v>
      </c>
      <c r="B88" s="387" t="str">
        <f t="shared" si="15"/>
        <v>Desagües Pluviales</v>
      </c>
      <c r="C88" s="388" t="str">
        <f t="shared" si="16"/>
        <v>gl</v>
      </c>
      <c r="D88" s="416">
        <v>1</v>
      </c>
      <c r="E88" s="389">
        <f t="shared" si="17"/>
        <v>0</v>
      </c>
      <c r="F88" s="417">
        <f t="shared" si="18"/>
        <v>0</v>
      </c>
      <c r="G88" s="428"/>
    </row>
    <row r="89" spans="1:7" ht="20.100000000000001" customHeight="1" x14ac:dyDescent="0.25">
      <c r="A89" s="415" t="s">
        <v>1410</v>
      </c>
      <c r="B89" s="387" t="str">
        <f t="shared" si="15"/>
        <v>Desagüe aire acondicionado</v>
      </c>
      <c r="C89" s="388" t="str">
        <f t="shared" si="16"/>
        <v>gl</v>
      </c>
      <c r="D89" s="416">
        <v>1</v>
      </c>
      <c r="E89" s="389">
        <f t="shared" si="17"/>
        <v>0</v>
      </c>
      <c r="F89" s="417">
        <f t="shared" si="18"/>
        <v>0</v>
      </c>
      <c r="G89" s="428"/>
    </row>
    <row r="90" spans="1:7" ht="20.100000000000001" customHeight="1" x14ac:dyDescent="0.25">
      <c r="A90" s="415" t="s">
        <v>1411</v>
      </c>
      <c r="B90" s="387" t="str">
        <f t="shared" si="15"/>
        <v xml:space="preserve">Artefactos sanitarios  </v>
      </c>
      <c r="C90" s="388" t="str">
        <f t="shared" si="16"/>
        <v>gl</v>
      </c>
      <c r="D90" s="416">
        <v>1</v>
      </c>
      <c r="E90" s="389">
        <f t="shared" si="17"/>
        <v>0</v>
      </c>
      <c r="F90" s="417">
        <f t="shared" si="18"/>
        <v>0</v>
      </c>
      <c r="G90" s="428"/>
    </row>
    <row r="91" spans="1:7" ht="20.100000000000001" customHeight="1" x14ac:dyDescent="0.25">
      <c r="A91" s="415" t="s">
        <v>1412</v>
      </c>
      <c r="B91" s="387" t="str">
        <f t="shared" si="15"/>
        <v>Griferia de sanitario y cocina</v>
      </c>
      <c r="C91" s="388" t="str">
        <f t="shared" si="16"/>
        <v>gl</v>
      </c>
      <c r="D91" s="416">
        <v>1</v>
      </c>
      <c r="E91" s="389">
        <f t="shared" si="17"/>
        <v>0</v>
      </c>
      <c r="F91" s="417">
        <f t="shared" si="18"/>
        <v>0</v>
      </c>
      <c r="G91" s="428"/>
    </row>
    <row r="92" spans="1:7" ht="20.100000000000001" customHeight="1" x14ac:dyDescent="0.25">
      <c r="A92" s="415" t="s">
        <v>1413</v>
      </c>
      <c r="B92" s="387" t="str">
        <f t="shared" si="15"/>
        <v>Accesorios de sanitarios</v>
      </c>
      <c r="C92" s="388" t="str">
        <f t="shared" si="16"/>
        <v>gl</v>
      </c>
      <c r="D92" s="416">
        <v>1</v>
      </c>
      <c r="E92" s="389">
        <f t="shared" si="17"/>
        <v>0</v>
      </c>
      <c r="F92" s="417">
        <f t="shared" si="18"/>
        <v>0</v>
      </c>
      <c r="G92" s="428"/>
    </row>
    <row r="93" spans="1:7" ht="20.100000000000001" customHeight="1" x14ac:dyDescent="0.25">
      <c r="A93" s="415" t="s">
        <v>1414</v>
      </c>
      <c r="B93" s="387" t="str">
        <f t="shared" si="15"/>
        <v>Tanque de bombeo (5000 litros)</v>
      </c>
      <c r="C93" s="388" t="str">
        <f t="shared" si="16"/>
        <v>gl</v>
      </c>
      <c r="D93" s="416">
        <v>4.0816999999999999E-2</v>
      </c>
      <c r="E93" s="389">
        <f t="shared" si="17"/>
        <v>0</v>
      </c>
      <c r="F93" s="417">
        <f t="shared" si="18"/>
        <v>0</v>
      </c>
      <c r="G93" s="428"/>
    </row>
    <row r="94" spans="1:7" ht="20.100000000000001" customHeight="1" x14ac:dyDescent="0.25">
      <c r="A94" s="415" t="s">
        <v>1415</v>
      </c>
      <c r="B94" s="387" t="str">
        <f t="shared" si="15"/>
        <v xml:space="preserve">Tanque de reserva (5000 litros) </v>
      </c>
      <c r="C94" s="388" t="str">
        <f t="shared" si="16"/>
        <v>gl</v>
      </c>
      <c r="D94" s="416">
        <v>0.10204000000000001</v>
      </c>
      <c r="E94" s="389">
        <f t="shared" si="17"/>
        <v>0</v>
      </c>
      <c r="F94" s="417">
        <f t="shared" si="18"/>
        <v>0</v>
      </c>
      <c r="G94" s="428"/>
    </row>
    <row r="95" spans="1:7" ht="20.100000000000001" customHeight="1" x14ac:dyDescent="0.25">
      <c r="A95" s="415">
        <v>17</v>
      </c>
      <c r="B95" s="387" t="str">
        <f t="shared" si="15"/>
        <v>INSTALACIÓN CONTRA INCENDIO TOTAL</v>
      </c>
      <c r="C95" s="388">
        <f t="shared" si="16"/>
        <v>0</v>
      </c>
      <c r="D95" s="416"/>
      <c r="E95" s="389">
        <f t="shared" si="17"/>
        <v>0</v>
      </c>
      <c r="F95" s="417">
        <f t="shared" si="18"/>
        <v>0</v>
      </c>
      <c r="G95" s="428"/>
    </row>
    <row r="96" spans="1:7" ht="20.100000000000001" customHeight="1" x14ac:dyDescent="0.25">
      <c r="A96" s="415" t="s">
        <v>1416</v>
      </c>
      <c r="B96" s="387" t="str">
        <f t="shared" si="15"/>
        <v>Tanque de reserva   PRFV 5000 LTS</v>
      </c>
      <c r="C96" s="388" t="str">
        <f t="shared" si="16"/>
        <v>u</v>
      </c>
      <c r="D96" s="416">
        <v>6.7960999999999994E-2</v>
      </c>
      <c r="E96" s="389">
        <f t="shared" si="17"/>
        <v>0</v>
      </c>
      <c r="F96" s="417">
        <f t="shared" si="18"/>
        <v>0</v>
      </c>
      <c r="G96" s="428"/>
    </row>
    <row r="97" spans="1:14" ht="20.100000000000001" customHeight="1" x14ac:dyDescent="0.25">
      <c r="A97" s="415" t="s">
        <v>1417</v>
      </c>
      <c r="B97" s="387" t="str">
        <f t="shared" si="15"/>
        <v xml:space="preserve">Bomba de 15 hp </v>
      </c>
      <c r="C97" s="388" t="str">
        <f t="shared" si="16"/>
        <v>u</v>
      </c>
      <c r="D97" s="416">
        <v>3.8835000000000001E-2</v>
      </c>
      <c r="E97" s="389">
        <f t="shared" si="17"/>
        <v>0</v>
      </c>
      <c r="F97" s="417">
        <f t="shared" si="18"/>
        <v>0</v>
      </c>
      <c r="G97" s="428"/>
    </row>
    <row r="98" spans="1:14" ht="20.100000000000001" customHeight="1" x14ac:dyDescent="0.25">
      <c r="A98" s="415" t="s">
        <v>1418</v>
      </c>
      <c r="B98" s="387" t="str">
        <f t="shared" ref="B98:B112" si="19">IFERROR(VLOOKUP(A98,Tabla_Datos,2,FALSE),0)</f>
        <v>Extintores ABC 5 kg</v>
      </c>
      <c r="C98" s="388" t="str">
        <f t="shared" ref="C98:C112" si="20">IFERROR(VLOOKUP(A98,Tabla_Datos,3,FALSE),0)</f>
        <v>u</v>
      </c>
      <c r="D98" s="416">
        <v>0.58252400000000004</v>
      </c>
      <c r="E98" s="389">
        <f t="shared" ref="E98:E112" si="21">IFERROR(VLOOKUP(A98,Tabla_Comp_Presup,7,FALSE),0)</f>
        <v>0</v>
      </c>
      <c r="F98" s="417">
        <f t="shared" ref="F98:F112" si="22">ROUND(D98*E98,15)</f>
        <v>0</v>
      </c>
      <c r="G98" s="428"/>
    </row>
    <row r="99" spans="1:14" ht="20.100000000000001" customHeight="1" x14ac:dyDescent="0.25">
      <c r="A99" s="415" t="s">
        <v>1419</v>
      </c>
      <c r="B99" s="387" t="str">
        <f t="shared" si="19"/>
        <v>Hidrantes con caja lanza y martillo</v>
      </c>
      <c r="C99" s="388" t="str">
        <f t="shared" si="20"/>
        <v>u</v>
      </c>
      <c r="D99" s="416">
        <v>0.28571400000000002</v>
      </c>
      <c r="E99" s="389">
        <f t="shared" si="21"/>
        <v>0</v>
      </c>
      <c r="F99" s="417">
        <f t="shared" si="22"/>
        <v>0</v>
      </c>
      <c r="G99" s="428"/>
    </row>
    <row r="100" spans="1:14" ht="20.100000000000001" customHeight="1" x14ac:dyDescent="0.25">
      <c r="A100" s="415" t="s">
        <v>1420</v>
      </c>
      <c r="B100" s="387" t="str">
        <f t="shared" si="19"/>
        <v>Manguera para incendio diametro 38,long 25 metros</v>
      </c>
      <c r="C100" s="388" t="str">
        <f t="shared" si="20"/>
        <v>u</v>
      </c>
      <c r="D100" s="416">
        <v>0.28571400000000002</v>
      </c>
      <c r="E100" s="389">
        <f t="shared" si="21"/>
        <v>0</v>
      </c>
      <c r="F100" s="417">
        <f t="shared" si="22"/>
        <v>0</v>
      </c>
      <c r="G100" s="428"/>
    </row>
    <row r="101" spans="1:14" ht="20.100000000000001" customHeight="1" x14ac:dyDescent="0.25">
      <c r="A101" s="415" t="s">
        <v>1421</v>
      </c>
      <c r="B101" s="387" t="str">
        <f t="shared" si="19"/>
        <v xml:space="preserve">Bomba Joker </v>
      </c>
      <c r="C101" s="388" t="str">
        <f t="shared" si="20"/>
        <v>u</v>
      </c>
      <c r="D101" s="416">
        <v>2.0407999999999999E-2</v>
      </c>
      <c r="E101" s="389">
        <f t="shared" si="21"/>
        <v>0</v>
      </c>
      <c r="F101" s="417">
        <f t="shared" si="22"/>
        <v>0</v>
      </c>
      <c r="G101" s="428"/>
      <c r="M101" s="192"/>
      <c r="N101" s="192"/>
    </row>
    <row r="102" spans="1:14" ht="20.100000000000001" customHeight="1" x14ac:dyDescent="0.25">
      <c r="A102" s="415" t="s">
        <v>1422</v>
      </c>
      <c r="B102" s="387" t="str">
        <f t="shared" si="19"/>
        <v>Luces de Emergencia</v>
      </c>
      <c r="C102" s="388" t="str">
        <f t="shared" si="20"/>
        <v>u</v>
      </c>
      <c r="D102" s="416">
        <v>1.3877550000000001</v>
      </c>
      <c r="E102" s="389">
        <f t="shared" si="21"/>
        <v>0</v>
      </c>
      <c r="F102" s="417">
        <f t="shared" si="22"/>
        <v>0</v>
      </c>
      <c r="G102" s="428"/>
      <c r="H102" s="502"/>
    </row>
    <row r="103" spans="1:14" ht="20.100000000000001" customHeight="1" x14ac:dyDescent="0.25">
      <c r="A103" s="415" t="s">
        <v>1423</v>
      </c>
      <c r="B103" s="387" t="str">
        <f t="shared" si="19"/>
        <v>Cañeria HG 75 mm</v>
      </c>
      <c r="C103" s="388" t="str">
        <f t="shared" si="20"/>
        <v>ml</v>
      </c>
      <c r="D103" s="416">
        <v>0</v>
      </c>
      <c r="E103" s="389">
        <f t="shared" si="21"/>
        <v>0</v>
      </c>
      <c r="F103" s="417">
        <f t="shared" si="22"/>
        <v>0</v>
      </c>
      <c r="G103" s="428"/>
      <c r="H103" s="445"/>
    </row>
    <row r="104" spans="1:14" ht="20.100000000000001" customHeight="1" x14ac:dyDescent="0.25">
      <c r="A104" s="415" t="s">
        <v>1424</v>
      </c>
      <c r="B104" s="387" t="str">
        <f t="shared" si="19"/>
        <v>Cañeria HG 63 mm</v>
      </c>
      <c r="C104" s="388" t="str">
        <f t="shared" si="20"/>
        <v>ml</v>
      </c>
      <c r="D104" s="416">
        <v>2.3877549999999998</v>
      </c>
      <c r="E104" s="389">
        <f t="shared" si="21"/>
        <v>0</v>
      </c>
      <c r="F104" s="417">
        <f t="shared" si="22"/>
        <v>0</v>
      </c>
      <c r="G104" s="428"/>
    </row>
    <row r="105" spans="1:14" ht="20.100000000000001" customHeight="1" x14ac:dyDescent="0.25">
      <c r="A105" s="415" t="s">
        <v>1425</v>
      </c>
      <c r="B105" s="387" t="str">
        <f t="shared" si="19"/>
        <v>Cañeria HG 50 mm</v>
      </c>
      <c r="C105" s="388" t="str">
        <f t="shared" si="20"/>
        <v>ml</v>
      </c>
      <c r="D105" s="416">
        <v>0.22449</v>
      </c>
      <c r="E105" s="389">
        <f t="shared" si="21"/>
        <v>0</v>
      </c>
      <c r="F105" s="417">
        <f t="shared" si="22"/>
        <v>0</v>
      </c>
      <c r="G105" s="428"/>
    </row>
    <row r="106" spans="1:14" ht="20.100000000000001" customHeight="1" x14ac:dyDescent="0.25">
      <c r="A106" s="415" t="s">
        <v>1426</v>
      </c>
      <c r="B106" s="387" t="str">
        <f t="shared" si="19"/>
        <v>Valvulas Esclusas de bronce dim 45</v>
      </c>
      <c r="C106" s="388" t="str">
        <f t="shared" si="20"/>
        <v>u</v>
      </c>
      <c r="D106" s="416">
        <v>0.244898</v>
      </c>
      <c r="E106" s="389">
        <f t="shared" si="21"/>
        <v>0</v>
      </c>
      <c r="F106" s="417">
        <f t="shared" si="22"/>
        <v>0</v>
      </c>
      <c r="G106" s="428"/>
    </row>
    <row r="107" spans="1:14" ht="20.100000000000001" customHeight="1" x14ac:dyDescent="0.25">
      <c r="A107" s="415" t="s">
        <v>1427</v>
      </c>
      <c r="B107" s="387" t="str">
        <f t="shared" si="19"/>
        <v>Valvulas Esclusas de bronce dim 38</v>
      </c>
      <c r="C107" s="388" t="str">
        <f t="shared" si="20"/>
        <v>u</v>
      </c>
      <c r="D107" s="416">
        <v>4.0815999999999998E-2</v>
      </c>
      <c r="E107" s="389">
        <f t="shared" si="21"/>
        <v>0</v>
      </c>
      <c r="F107" s="417">
        <f t="shared" si="22"/>
        <v>0</v>
      </c>
      <c r="G107" s="428"/>
    </row>
    <row r="108" spans="1:14" ht="20.100000000000001" customHeight="1" x14ac:dyDescent="0.25">
      <c r="A108" s="415" t="s">
        <v>1428</v>
      </c>
      <c r="B108" s="387" t="str">
        <f t="shared" si="19"/>
        <v>Caja de Impulsion con llave esferica de 2" (60x40)</v>
      </c>
      <c r="C108" s="388" t="str">
        <f t="shared" si="20"/>
        <v>u</v>
      </c>
      <c r="D108" s="416">
        <v>2.0407999999999999E-2</v>
      </c>
      <c r="E108" s="389">
        <f t="shared" si="21"/>
        <v>0</v>
      </c>
      <c r="F108" s="417">
        <f t="shared" si="22"/>
        <v>0</v>
      </c>
      <c r="G108" s="428"/>
      <c r="J108" s="192"/>
      <c r="K108" s="428"/>
    </row>
    <row r="109" spans="1:14" ht="20.100000000000001" customHeight="1" x14ac:dyDescent="0.25">
      <c r="A109" s="415" t="s">
        <v>1429</v>
      </c>
      <c r="B109" s="387" t="str">
        <f t="shared" si="19"/>
        <v>Tambor con arena de 200 lts</v>
      </c>
      <c r="C109" s="388" t="str">
        <f t="shared" si="20"/>
        <v>u</v>
      </c>
      <c r="D109" s="416">
        <v>6.1224000000000001E-2</v>
      </c>
      <c r="E109" s="389">
        <f t="shared" si="21"/>
        <v>0</v>
      </c>
      <c r="F109" s="417">
        <f t="shared" si="22"/>
        <v>0</v>
      </c>
      <c r="G109" s="428"/>
      <c r="J109" s="192"/>
      <c r="K109" s="428"/>
    </row>
    <row r="110" spans="1:14" ht="20.100000000000001" customHeight="1" x14ac:dyDescent="0.25">
      <c r="A110" s="415">
        <v>18</v>
      </c>
      <c r="B110" s="387" t="str">
        <f t="shared" si="19"/>
        <v>INSTALACION ELECTROMECANICA</v>
      </c>
      <c r="C110" s="388">
        <f t="shared" si="20"/>
        <v>0</v>
      </c>
      <c r="D110" s="416"/>
      <c r="E110" s="389">
        <f t="shared" si="21"/>
        <v>0</v>
      </c>
      <c r="F110" s="417">
        <f t="shared" si="22"/>
        <v>0</v>
      </c>
      <c r="G110" s="428"/>
      <c r="J110" s="192"/>
      <c r="K110" s="428"/>
    </row>
    <row r="111" spans="1:14" ht="20.100000000000001" customHeight="1" x14ac:dyDescent="0.25">
      <c r="A111" s="415" t="s">
        <v>1430</v>
      </c>
      <c r="B111" s="387" t="str">
        <f t="shared" si="19"/>
        <v>Instalación electromagnética</v>
      </c>
      <c r="C111" s="388" t="str">
        <f t="shared" si="20"/>
        <v>gl</v>
      </c>
      <c r="D111" s="416">
        <v>4.0815999999999998E-2</v>
      </c>
      <c r="E111" s="389">
        <f t="shared" si="21"/>
        <v>0</v>
      </c>
      <c r="F111" s="417">
        <f t="shared" si="22"/>
        <v>0</v>
      </c>
      <c r="G111" s="428"/>
      <c r="J111" s="192"/>
      <c r="K111" s="428"/>
    </row>
    <row r="112" spans="1:14" ht="20.100000000000001" customHeight="1" x14ac:dyDescent="0.25">
      <c r="A112" s="415" t="s">
        <v>1431</v>
      </c>
      <c r="B112" s="387" t="str">
        <f t="shared" si="19"/>
        <v>Ascensor Electromagnetico Cap.450 kg Ancho 1100 x 1300 cm (Torre 9 niveles)</v>
      </c>
      <c r="C112" s="388" t="str">
        <f t="shared" si="20"/>
        <v>u</v>
      </c>
      <c r="D112" s="416">
        <v>0</v>
      </c>
      <c r="E112" s="389">
        <f t="shared" si="21"/>
        <v>0</v>
      </c>
      <c r="F112" s="417">
        <f t="shared" si="22"/>
        <v>0</v>
      </c>
      <c r="G112" s="428"/>
      <c r="J112" s="192"/>
      <c r="K112" s="428"/>
    </row>
    <row r="113" spans="1:12" ht="20.100000000000001" customHeight="1" x14ac:dyDescent="0.25">
      <c r="A113" s="415" t="s">
        <v>1521</v>
      </c>
      <c r="B113" s="387" t="str">
        <f t="shared" ref="B113" si="23">IFERROR(VLOOKUP(A113,Tabla_Datos,2,FALSE),0)</f>
        <v>Ascensor Electromagnetico Cap.450 kg Ancho 1100 x 1300 cm  (Ala 5 niveles)</v>
      </c>
      <c r="C113" s="388" t="str">
        <f t="shared" ref="C113" si="24">IFERROR(VLOOKUP(A113,Tabla_Datos,3,FALSE),0)</f>
        <v>u</v>
      </c>
      <c r="D113" s="416">
        <v>4.0815999999999998E-2</v>
      </c>
      <c r="E113" s="389">
        <f t="shared" ref="E113" si="25">IFERROR(VLOOKUP(A113,Tabla_Comp_Presup,7,FALSE),0)</f>
        <v>0</v>
      </c>
      <c r="F113" s="417">
        <f t="shared" ref="F113" si="26">ROUND(D113*E113,15)</f>
        <v>0</v>
      </c>
      <c r="G113" s="428"/>
      <c r="J113" s="192"/>
      <c r="K113" s="428"/>
    </row>
    <row r="114" spans="1:12" ht="20.100000000000001" customHeight="1" x14ac:dyDescent="0.25">
      <c r="A114" s="415">
        <v>19</v>
      </c>
      <c r="B114" s="387" t="str">
        <f>IFERROR(VLOOKUP(A114,Tabla_Datos,2,FALSE),0)</f>
        <v>CONDUCTOS Y VENTILACIONES</v>
      </c>
      <c r="C114" s="388">
        <f>IFERROR(VLOOKUP(A114,Tabla_Datos,3,FALSE),0)</f>
        <v>0</v>
      </c>
      <c r="D114" s="416"/>
      <c r="E114" s="389">
        <f t="shared" si="0"/>
        <v>0</v>
      </c>
      <c r="F114" s="417">
        <f t="shared" ref="F114:F115" si="27">ROUND(D114*E114,15)</f>
        <v>0</v>
      </c>
      <c r="G114" s="428"/>
      <c r="H114" s="502"/>
      <c r="J114" s="192"/>
      <c r="K114" s="428"/>
    </row>
    <row r="115" spans="1:12" ht="20.100000000000001" customHeight="1" x14ac:dyDescent="0.25">
      <c r="A115" s="415" t="s">
        <v>1432</v>
      </c>
      <c r="B115" s="387" t="str">
        <f>IFERROR(VLOOKUP(A115,Tabla_Datos,2,FALSE),0)</f>
        <v>Rejilla ventilación baños</v>
      </c>
      <c r="C115" s="388" t="str">
        <f t="shared" si="2"/>
        <v>u</v>
      </c>
      <c r="D115" s="416">
        <v>1.4285714285714286</v>
      </c>
      <c r="E115" s="389">
        <f t="shared" si="0"/>
        <v>0</v>
      </c>
      <c r="F115" s="417">
        <f t="shared" si="27"/>
        <v>0</v>
      </c>
      <c r="G115" s="428"/>
      <c r="J115" s="192"/>
      <c r="K115" s="428"/>
    </row>
    <row r="116" spans="1:12" ht="20.100000000000001" customHeight="1" x14ac:dyDescent="0.25">
      <c r="A116" s="193"/>
      <c r="B116" s="194"/>
      <c r="C116" s="195"/>
      <c r="D116" s="196"/>
      <c r="E116" s="197"/>
      <c r="F116" s="197"/>
      <c r="G116" s="96"/>
      <c r="J116" s="192"/>
      <c r="K116" s="192"/>
    </row>
    <row r="117" spans="1:12" s="160" customFormat="1" ht="20.100000000000001" customHeight="1" x14ac:dyDescent="0.25">
      <c r="A117" s="390" t="s">
        <v>1106</v>
      </c>
      <c r="B117" s="391" t="s">
        <v>1162</v>
      </c>
      <c r="C117" s="392"/>
      <c r="D117" s="393"/>
      <c r="E117" s="394"/>
      <c r="F117" s="395">
        <f>ROUND(F126/Coef_Paso_Vivienda,2)</f>
        <v>0</v>
      </c>
      <c r="H117" s="75"/>
      <c r="I117" s="453"/>
    </row>
    <row r="118" spans="1:12" s="160" customFormat="1" ht="20.100000000000001" customHeight="1" x14ac:dyDescent="0.25">
      <c r="A118" s="396" t="s">
        <v>1107</v>
      </c>
      <c r="B118" s="397" t="str">
        <f>"COSTO FINANCIERO  "&amp;ROUND(Costo_Financiero*100,2)&amp;" % de ( 1 )"</f>
        <v>COSTO FINANCIERO  0 % de ( 1 )</v>
      </c>
      <c r="C118" s="398">
        <f>Costo_Financiero</f>
        <v>0</v>
      </c>
      <c r="D118" s="399"/>
      <c r="E118" s="400">
        <f>Costo_Financiero</f>
        <v>0</v>
      </c>
      <c r="F118" s="401">
        <f>ROUND(F117*Costo_Financiero,2)</f>
        <v>0</v>
      </c>
      <c r="H118" s="75"/>
      <c r="I118" s="453"/>
    </row>
    <row r="119" spans="1:12" s="160" customFormat="1" ht="20.100000000000001" customHeight="1" x14ac:dyDescent="0.25">
      <c r="A119" s="396" t="s">
        <v>1108</v>
      </c>
      <c r="B119" s="397" t="s">
        <v>1158</v>
      </c>
      <c r="C119" s="398"/>
      <c r="D119" s="399"/>
      <c r="E119" s="402"/>
      <c r="F119" s="401">
        <f>F117+F118</f>
        <v>0</v>
      </c>
      <c r="H119" s="75"/>
      <c r="I119" s="453"/>
    </row>
    <row r="120" spans="1:12" s="160" customFormat="1" ht="20.100000000000001" customHeight="1" x14ac:dyDescent="0.25">
      <c r="A120" s="396" t="s">
        <v>1109</v>
      </c>
      <c r="B120" s="403" t="str">
        <f>CONCATENATE("GASTOS GENERALES  ",ROUND(Gastos_Generales*100,3)," % de ( 3 )")</f>
        <v>GASTOS GENERALES  10 % de ( 3 )</v>
      </c>
      <c r="C120" s="400">
        <f>Gastos_Generales</f>
        <v>0.1</v>
      </c>
      <c r="D120" s="404"/>
      <c r="E120" s="402"/>
      <c r="F120" s="401">
        <f>ROUND(F119*Gastos_Generales,2)</f>
        <v>0</v>
      </c>
      <c r="H120" s="75"/>
      <c r="I120" s="165"/>
    </row>
    <row r="121" spans="1:12" s="160" customFormat="1" ht="20.100000000000001" customHeight="1" x14ac:dyDescent="0.25">
      <c r="A121" s="396" t="s">
        <v>1110</v>
      </c>
      <c r="B121" s="403" t="str">
        <f>CONCATENATE("BENEFICIOS  ",ROUND(Beneficio*100,2)," % de ( 3 )")</f>
        <v>BENEFICIOS  10 % de ( 3 )</v>
      </c>
      <c r="C121" s="400">
        <f>Beneficio</f>
        <v>0.1</v>
      </c>
      <c r="D121" s="404"/>
      <c r="E121" s="402"/>
      <c r="F121" s="401">
        <f>ROUND(F119*Beneficio,2)</f>
        <v>0</v>
      </c>
      <c r="H121" s="75"/>
      <c r="I121" s="165"/>
    </row>
    <row r="122" spans="1:12" s="160" customFormat="1" ht="20.100000000000001" customHeight="1" x14ac:dyDescent="0.25">
      <c r="A122" s="396">
        <v>6</v>
      </c>
      <c r="B122" s="397" t="s">
        <v>1159</v>
      </c>
      <c r="C122" s="402"/>
      <c r="D122" s="404"/>
      <c r="E122" s="402"/>
      <c r="F122" s="401">
        <f>F119+F120+F121</f>
        <v>0</v>
      </c>
      <c r="H122" s="75"/>
      <c r="I122" s="165"/>
    </row>
    <row r="123" spans="1:12" s="160" customFormat="1" ht="20.100000000000001" customHeight="1" x14ac:dyDescent="0.25">
      <c r="A123" s="396" t="s">
        <v>1160</v>
      </c>
      <c r="B123" s="403" t="str">
        <f>CONCATENATE("INGRESOS BRUTOS Y LOTE HOGAR  ",ROUND(Ingresos_Brutos*100,2)," % de ( 6 )")</f>
        <v>INGRESOS BRUTOS Y LOTE HOGAR  2,4 % de ( 6 )</v>
      </c>
      <c r="C123" s="400">
        <f>Ingresos_Brutos</f>
        <v>2.4E-2</v>
      </c>
      <c r="D123" s="404"/>
      <c r="E123" s="402"/>
      <c r="F123" s="401">
        <f>IF(Ingresos_Brutos=0,,ROUND(Ingresos_Brutos*F122,2))</f>
        <v>0</v>
      </c>
      <c r="H123" s="75"/>
      <c r="I123" s="165"/>
    </row>
    <row r="124" spans="1:12" s="160" customFormat="1" ht="20.100000000000001" customHeight="1" x14ac:dyDescent="0.25">
      <c r="A124" s="405" t="s">
        <v>1161</v>
      </c>
      <c r="B124" s="406" t="str">
        <f>CONCATENATE("IMPUESTO AL VALOR AGREGADO ",IVA_Vivienda*100," % de ( 6 )")</f>
        <v>IMPUESTO AL VALOR AGREGADO 0,000000000001 % de ( 6 )</v>
      </c>
      <c r="C124" s="407">
        <f>IVA_Vivienda</f>
        <v>1E-14</v>
      </c>
      <c r="D124" s="408"/>
      <c r="E124" s="409"/>
      <c r="F124" s="410">
        <f>IF(IVA_Vivienda=0,,ROUND(IVA_Vivienda*F122,2))</f>
        <v>0</v>
      </c>
      <c r="H124" s="75"/>
      <c r="I124" s="165"/>
    </row>
    <row r="125" spans="1:12" s="2" customFormat="1" ht="20.100000000000001" customHeight="1" x14ac:dyDescent="0.25">
      <c r="A125" s="88"/>
      <c r="B125" s="83"/>
      <c r="C125" s="83"/>
      <c r="D125" s="84"/>
      <c r="E125" s="85"/>
      <c r="G125" s="160"/>
      <c r="H125" s="75"/>
      <c r="I125" s="165"/>
      <c r="J125" s="160"/>
    </row>
    <row r="126" spans="1:12" s="2" customFormat="1" ht="20.100000000000001" customHeight="1" x14ac:dyDescent="0.25">
      <c r="A126" s="411"/>
      <c r="B126" s="412" t="str">
        <f>"PRECIO TOTAL VIVENDA"</f>
        <v>PRECIO TOTAL VIVENDA</v>
      </c>
      <c r="C126" s="412"/>
      <c r="D126" s="413"/>
      <c r="E126" s="411"/>
      <c r="F126" s="414">
        <f>SUM(F11:F115)</f>
        <v>0</v>
      </c>
      <c r="G126" s="488"/>
      <c r="H126" s="75"/>
      <c r="I126" s="165"/>
      <c r="J126" s="160"/>
      <c r="L126" s="191"/>
    </row>
    <row r="127" spans="1:12" ht="20.100000000000001" customHeight="1" x14ac:dyDescent="0.25">
      <c r="E127" s="133"/>
      <c r="F127" s="133"/>
      <c r="G127" s="318"/>
      <c r="I127" s="165"/>
      <c r="J127" s="160"/>
    </row>
    <row r="128" spans="1:12" ht="20.100000000000001" customHeight="1" x14ac:dyDescent="0.25">
      <c r="F128" s="490"/>
      <c r="G128" s="488"/>
      <c r="I128" s="165"/>
      <c r="J128" s="160"/>
    </row>
    <row r="129" spans="6:11" ht="20.100000000000001" customHeight="1" x14ac:dyDescent="0.25">
      <c r="G129" s="488"/>
      <c r="I129" s="165"/>
      <c r="J129" s="160"/>
    </row>
    <row r="130" spans="6:11" ht="20.100000000000001" customHeight="1" x14ac:dyDescent="0.25">
      <c r="F130" s="490"/>
      <c r="G130" s="160"/>
      <c r="I130" s="165"/>
      <c r="J130" s="160"/>
      <c r="K130" s="133"/>
    </row>
    <row r="131" spans="6:11" ht="20.100000000000001" customHeight="1" x14ac:dyDescent="0.25">
      <c r="H131" s="96"/>
    </row>
  </sheetData>
  <sheetProtection formatCells="0" selectLockedCells="1"/>
  <mergeCells count="7">
    <mergeCell ref="A1:F1"/>
    <mergeCell ref="A7:A8"/>
    <mergeCell ref="B7:B8"/>
    <mergeCell ref="C7:C8"/>
    <mergeCell ref="D7:D8"/>
    <mergeCell ref="E7:E8"/>
    <mergeCell ref="F7:F8"/>
  </mergeCells>
  <phoneticPr fontId="48" type="noConversion"/>
  <conditionalFormatting sqref="B10:B30 A11:A30 A31:B116">
    <cfRule type="expression" dxfId="166" priority="31" stopIfTrue="1">
      <formula>$C10=0</formula>
    </cfRule>
  </conditionalFormatting>
  <conditionalFormatting sqref="A10">
    <cfRule type="expression" dxfId="165" priority="30" stopIfTrue="1">
      <formula>$C10=0</formula>
    </cfRule>
  </conditionalFormatting>
  <conditionalFormatting sqref="F117">
    <cfRule type="expression" dxfId="164" priority="1" stopIfTrue="1">
      <formula>#REF!=1</formula>
    </cfRule>
  </conditionalFormatting>
  <pageMargins left="0.78740157480314965" right="0.39370078740157483" top="0.59055118110236227" bottom="0.19685039370078741" header="0.19685039370078741" footer="0.39370078740157483"/>
  <pageSetup paperSize="9" scale="60" orientation="portrait" r:id="rId1"/>
  <headerFooter>
    <oddHeader>&amp;C&amp;G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I130"/>
  <sheetViews>
    <sheetView topLeftCell="A112" workbookViewId="0">
      <selection activeCell="E135" sqref="E135"/>
    </sheetView>
  </sheetViews>
  <sheetFormatPr baseColWidth="10" defaultColWidth="11.44140625" defaultRowHeight="20.100000000000001" customHeight="1" x14ac:dyDescent="0.25"/>
  <cols>
    <col min="1" max="1" width="12.6640625" style="75" customWidth="1"/>
    <col min="2" max="2" width="78.109375" style="75" customWidth="1"/>
    <col min="3" max="3" width="10.6640625" style="75" customWidth="1"/>
    <col min="4" max="4" width="14.6640625" style="75" customWidth="1"/>
    <col min="5" max="6" width="16.6640625" style="75" customWidth="1"/>
    <col min="7" max="7" width="11.44140625" style="75"/>
    <col min="8" max="8" width="14.88671875" style="75" customWidth="1"/>
    <col min="9" max="9" width="13.88671875" style="75" bestFit="1" customWidth="1"/>
    <col min="10" max="10" width="68.88671875" style="75" customWidth="1"/>
    <col min="11" max="16384" width="11.44140625" style="75"/>
  </cols>
  <sheetData>
    <row r="1" spans="1:9" ht="20.100000000000001" customHeight="1" x14ac:dyDescent="0.25">
      <c r="A1" s="587" t="s">
        <v>1255</v>
      </c>
      <c r="B1" s="587"/>
      <c r="C1" s="587"/>
      <c r="D1" s="587"/>
      <c r="E1" s="587"/>
      <c r="F1" s="587"/>
    </row>
    <row r="2" spans="1:9" s="94" customFormat="1" ht="20.100000000000001" customHeight="1" x14ac:dyDescent="0.25">
      <c r="A2" s="94" t="s">
        <v>1230</v>
      </c>
      <c r="B2" s="93" t="str">
        <f>Obra</f>
        <v>LA NAVE - 103 DEPARTAMENTOS - CAPITAL</v>
      </c>
      <c r="C2" s="150"/>
      <c r="D2" s="95"/>
      <c r="E2" s="95"/>
      <c r="F2" s="95"/>
    </row>
    <row r="3" spans="1:9" s="94" customFormat="1" ht="20.100000000000001" customHeight="1" x14ac:dyDescent="0.25">
      <c r="A3" s="94" t="str">
        <f>"UBICACION:      "&amp;Ubicación</f>
        <v>UBICACION:      CAPITAL</v>
      </c>
      <c r="B3" s="93" t="str">
        <f>Ubicación</f>
        <v>CAPITAL</v>
      </c>
      <c r="C3" s="95"/>
      <c r="D3" s="95"/>
      <c r="E3" s="95"/>
      <c r="F3" s="95"/>
    </row>
    <row r="4" spans="1:9" s="94" customFormat="1" ht="20.100000000000001" customHeight="1" x14ac:dyDescent="0.25">
      <c r="A4" s="94" t="s">
        <v>1127</v>
      </c>
      <c r="B4" s="98" t="s">
        <v>1266</v>
      </c>
      <c r="D4" s="95"/>
      <c r="E4" s="95"/>
      <c r="F4" s="95"/>
    </row>
    <row r="5" spans="1:9" s="94" customFormat="1" ht="20.100000000000001" customHeight="1" x14ac:dyDescent="0.25">
      <c r="A5" s="94" t="s">
        <v>1156</v>
      </c>
      <c r="B5" s="578">
        <v>30</v>
      </c>
      <c r="D5" s="95"/>
      <c r="E5" s="95"/>
      <c r="F5" s="95"/>
    </row>
    <row r="6" spans="1:9" ht="20.100000000000001" customHeight="1" x14ac:dyDescent="0.25">
      <c r="A6" s="132"/>
      <c r="B6" s="135"/>
      <c r="C6" s="132"/>
      <c r="D6" s="132"/>
    </row>
    <row r="7" spans="1:9" ht="20.100000000000001" customHeight="1" x14ac:dyDescent="0.25">
      <c r="A7" s="588" t="s">
        <v>1105</v>
      </c>
      <c r="B7" s="590" t="s">
        <v>0</v>
      </c>
      <c r="C7" s="588" t="s">
        <v>1</v>
      </c>
      <c r="D7" s="588" t="s">
        <v>2</v>
      </c>
      <c r="E7" s="588" t="s">
        <v>1148</v>
      </c>
      <c r="F7" s="588" t="s">
        <v>1157</v>
      </c>
    </row>
    <row r="8" spans="1:9" ht="20.100000000000001" customHeight="1" x14ac:dyDescent="0.25">
      <c r="A8" s="589"/>
      <c r="B8" s="591"/>
      <c r="C8" s="589"/>
      <c r="D8" s="589"/>
      <c r="E8" s="589"/>
      <c r="F8" s="589"/>
    </row>
    <row r="9" spans="1:9" ht="20.100000000000001" customHeight="1" x14ac:dyDescent="0.25">
      <c r="A9" s="198"/>
      <c r="B9" s="136"/>
      <c r="C9" s="140"/>
      <c r="D9" s="140"/>
      <c r="E9" s="140"/>
      <c r="F9" s="199"/>
    </row>
    <row r="10" spans="1:9" ht="20.100000000000001" customHeight="1" x14ac:dyDescent="0.25">
      <c r="A10" s="223" t="s">
        <v>1124</v>
      </c>
      <c r="B10" s="224" t="str">
        <f t="shared" ref="B10:B11" si="0">IFERROR(VLOOKUP(A10,Tabla_Datos,2,FALSE),0)</f>
        <v>DEPARTAMENTOS</v>
      </c>
      <c r="C10" s="225"/>
      <c r="D10" s="226"/>
      <c r="E10" s="255"/>
      <c r="F10" s="429"/>
    </row>
    <row r="11" spans="1:9" ht="20.100000000000001" customHeight="1" x14ac:dyDescent="0.25">
      <c r="A11" s="415">
        <v>1</v>
      </c>
      <c r="B11" s="387" t="str">
        <f t="shared" si="0"/>
        <v xml:space="preserve">TRABAJOS PRELIMINARES </v>
      </c>
      <c r="C11" s="388">
        <f t="shared" ref="C11" si="1">IFERROR(VLOOKUP(A11,Tabla_Datos,3,FALSE),0)</f>
        <v>0</v>
      </c>
      <c r="D11" s="416"/>
      <c r="E11" s="417">
        <f t="shared" ref="E11" si="2">IFERROR(VLOOKUP(A11,Tabla_Comp_Presup,7,FALSE),0)</f>
        <v>0</v>
      </c>
      <c r="F11" s="417">
        <f>ROUND(D11*E11,15)</f>
        <v>0</v>
      </c>
      <c r="G11" s="428"/>
      <c r="H11" s="445"/>
      <c r="I11" s="428"/>
    </row>
    <row r="12" spans="1:9" ht="20.100000000000001" customHeight="1" x14ac:dyDescent="0.25">
      <c r="A12" s="415" t="s">
        <v>1281</v>
      </c>
      <c r="B12" s="387" t="str">
        <f t="shared" ref="B12:B80" si="3">IFERROR(VLOOKUP(A12,Tabla_Datos,2,FALSE),0)</f>
        <v>Limpieza general, incluye desmalezamiento, demolición de construcciones existentes</v>
      </c>
      <c r="C12" s="388" t="str">
        <f t="shared" ref="C12:C80" si="4">IFERROR(VLOOKUP(A12,Tabla_Datos,3,FALSE),0)</f>
        <v>m2</v>
      </c>
      <c r="D12" s="416">
        <v>93.88</v>
      </c>
      <c r="E12" s="417">
        <f t="shared" ref="E12:E80" si="5">IFERROR(VLOOKUP(A12,Tabla_Comp_Presup,7,FALSE),0)</f>
        <v>0</v>
      </c>
      <c r="F12" s="417">
        <f t="shared" ref="F12:F80" si="6">ROUND(D12*E12,15)</f>
        <v>0</v>
      </c>
      <c r="G12" s="428"/>
      <c r="H12" s="445"/>
      <c r="I12" s="428"/>
    </row>
    <row r="13" spans="1:9" ht="20.100000000000001" customHeight="1" x14ac:dyDescent="0.25">
      <c r="A13" s="415">
        <v>2</v>
      </c>
      <c r="B13" s="387" t="str">
        <f t="shared" si="3"/>
        <v>MOVIMIENTO DE SUELOS</v>
      </c>
      <c r="C13" s="388">
        <f t="shared" si="4"/>
        <v>0</v>
      </c>
      <c r="D13" s="416"/>
      <c r="E13" s="417">
        <f t="shared" si="5"/>
        <v>0</v>
      </c>
      <c r="F13" s="417">
        <f t="shared" si="6"/>
        <v>0</v>
      </c>
      <c r="G13" s="428"/>
      <c r="H13" s="445"/>
      <c r="I13" s="428"/>
    </row>
    <row r="14" spans="1:9" ht="20.100000000000001" customHeight="1" x14ac:dyDescent="0.25">
      <c r="A14" s="415" t="s">
        <v>1282</v>
      </c>
      <c r="B14" s="387" t="str">
        <f t="shared" si="3"/>
        <v>Excavación para fundaciones</v>
      </c>
      <c r="C14" s="388" t="str">
        <f t="shared" si="4"/>
        <v>m3</v>
      </c>
      <c r="D14" s="416">
        <v>12.53</v>
      </c>
      <c r="E14" s="417">
        <f t="shared" si="5"/>
        <v>0</v>
      </c>
      <c r="F14" s="417">
        <f t="shared" si="6"/>
        <v>0</v>
      </c>
      <c r="G14" s="428"/>
      <c r="H14" s="445"/>
      <c r="I14" s="428"/>
    </row>
    <row r="15" spans="1:9" ht="20.100000000000001" customHeight="1" x14ac:dyDescent="0.25">
      <c r="A15" s="415" t="s">
        <v>1336</v>
      </c>
      <c r="B15" s="387" t="str">
        <f t="shared" si="3"/>
        <v>Excavacion de Subsuelo</v>
      </c>
      <c r="C15" s="388" t="str">
        <f t="shared" si="4"/>
        <v>m3</v>
      </c>
      <c r="D15" s="416">
        <v>110.78</v>
      </c>
      <c r="E15" s="417">
        <f t="shared" si="5"/>
        <v>0</v>
      </c>
      <c r="F15" s="417">
        <f t="shared" si="6"/>
        <v>0</v>
      </c>
      <c r="G15" s="428"/>
      <c r="H15" s="445"/>
      <c r="I15" s="428"/>
    </row>
    <row r="16" spans="1:9" ht="20.100000000000001" customHeight="1" x14ac:dyDescent="0.25">
      <c r="A16" s="415">
        <v>3</v>
      </c>
      <c r="B16" s="387" t="str">
        <f t="shared" si="3"/>
        <v>FUNDACIONES</v>
      </c>
      <c r="C16" s="388">
        <f t="shared" si="4"/>
        <v>0</v>
      </c>
      <c r="D16" s="416"/>
      <c r="E16" s="417">
        <f t="shared" si="5"/>
        <v>0</v>
      </c>
      <c r="F16" s="417">
        <f t="shared" si="6"/>
        <v>0</v>
      </c>
      <c r="G16" s="428"/>
      <c r="H16" s="445"/>
      <c r="I16" s="428"/>
    </row>
    <row r="17" spans="1:9" ht="20.100000000000001" customHeight="1" x14ac:dyDescent="0.25">
      <c r="A17" s="415" t="s">
        <v>1298</v>
      </c>
      <c r="B17" s="387" t="str">
        <f t="shared" si="3"/>
        <v>Hº - Bases aisladas y vigas de arriostramiento</v>
      </c>
      <c r="C17" s="388" t="str">
        <f t="shared" si="4"/>
        <v>m3</v>
      </c>
      <c r="D17" s="416">
        <v>11.99</v>
      </c>
      <c r="E17" s="417">
        <f t="shared" si="5"/>
        <v>0</v>
      </c>
      <c r="F17" s="417">
        <f t="shared" si="6"/>
        <v>0</v>
      </c>
      <c r="G17" s="428"/>
      <c r="H17" s="445"/>
      <c r="I17" s="428"/>
    </row>
    <row r="18" spans="1:9" ht="20.100000000000001" customHeight="1" x14ac:dyDescent="0.25">
      <c r="A18" s="415" t="s">
        <v>1299</v>
      </c>
      <c r="B18" s="387" t="str">
        <f t="shared" si="3"/>
        <v>Aº - Bases aisladas y vigas de arriostramiento</v>
      </c>
      <c r="C18" s="388" t="str">
        <f t="shared" si="4"/>
        <v>kg</v>
      </c>
      <c r="D18" s="416">
        <v>908.57</v>
      </c>
      <c r="E18" s="417">
        <f t="shared" si="5"/>
        <v>0</v>
      </c>
      <c r="F18" s="417">
        <f t="shared" si="6"/>
        <v>0</v>
      </c>
      <c r="G18" s="428"/>
      <c r="H18" s="445"/>
      <c r="I18" s="428"/>
    </row>
    <row r="19" spans="1:9" ht="20.100000000000001" customHeight="1" x14ac:dyDescent="0.25">
      <c r="A19" s="415">
        <v>4</v>
      </c>
      <c r="B19" s="387" t="str">
        <f t="shared" si="3"/>
        <v>ESTRUCTURA RESISTENTE</v>
      </c>
      <c r="C19" s="388">
        <f t="shared" si="4"/>
        <v>0</v>
      </c>
      <c r="D19" s="416"/>
      <c r="E19" s="417">
        <f t="shared" si="5"/>
        <v>0</v>
      </c>
      <c r="F19" s="417">
        <f t="shared" si="6"/>
        <v>0</v>
      </c>
      <c r="G19" s="428"/>
      <c r="H19" s="445"/>
      <c r="I19" s="428"/>
    </row>
    <row r="20" spans="1:9" ht="20.100000000000001" customHeight="1" x14ac:dyDescent="0.25">
      <c r="A20" s="415" t="s">
        <v>1300</v>
      </c>
      <c r="B20" s="387" t="str">
        <f t="shared" si="3"/>
        <v>Replanteo y niveles</v>
      </c>
      <c r="C20" s="388" t="str">
        <f t="shared" si="4"/>
        <v>gl</v>
      </c>
      <c r="D20" s="416">
        <v>4.08163E-2</v>
      </c>
      <c r="E20" s="417">
        <f t="shared" si="5"/>
        <v>0</v>
      </c>
      <c r="F20" s="417">
        <f t="shared" si="6"/>
        <v>0</v>
      </c>
      <c r="G20" s="428"/>
      <c r="H20" s="445"/>
      <c r="I20" s="428"/>
    </row>
    <row r="21" spans="1:9" ht="20.100000000000001" customHeight="1" x14ac:dyDescent="0.25">
      <c r="A21" s="415" t="s">
        <v>1301</v>
      </c>
      <c r="B21" s="387" t="str">
        <f t="shared" si="3"/>
        <v>Hormigon para Losas H-21</v>
      </c>
      <c r="C21" s="388" t="str">
        <f t="shared" si="4"/>
        <v>m3</v>
      </c>
      <c r="D21" s="416">
        <v>21.58</v>
      </c>
      <c r="E21" s="417">
        <f t="shared" si="5"/>
        <v>0</v>
      </c>
      <c r="F21" s="417">
        <f t="shared" si="6"/>
        <v>0</v>
      </c>
      <c r="G21" s="428"/>
      <c r="H21" s="445"/>
      <c r="I21" s="428"/>
    </row>
    <row r="22" spans="1:9" ht="20.100000000000001" customHeight="1" x14ac:dyDescent="0.25">
      <c r="A22" s="415" t="s">
        <v>1302</v>
      </c>
      <c r="B22" s="387" t="str">
        <f t="shared" si="3"/>
        <v>Hormigon resistente H-30</v>
      </c>
      <c r="C22" s="388" t="str">
        <f t="shared" si="4"/>
        <v>m3</v>
      </c>
      <c r="D22" s="416">
        <v>48.3</v>
      </c>
      <c r="E22" s="417">
        <f t="shared" si="5"/>
        <v>0</v>
      </c>
      <c r="F22" s="417">
        <f t="shared" si="6"/>
        <v>0</v>
      </c>
      <c r="G22" s="428"/>
      <c r="H22" s="445"/>
      <c r="I22" s="428"/>
    </row>
    <row r="23" spans="1:9" ht="20.100000000000001" customHeight="1" x14ac:dyDescent="0.25">
      <c r="A23" s="415" t="s">
        <v>1303</v>
      </c>
      <c r="B23" s="387" t="str">
        <f t="shared" si="3"/>
        <v>Hormigon para encadenados H-17</v>
      </c>
      <c r="C23" s="388" t="str">
        <f t="shared" si="4"/>
        <v>m3</v>
      </c>
      <c r="D23" s="416">
        <v>1.02</v>
      </c>
      <c r="E23" s="417">
        <f t="shared" si="5"/>
        <v>0</v>
      </c>
      <c r="F23" s="417">
        <f t="shared" si="6"/>
        <v>0</v>
      </c>
      <c r="G23" s="428"/>
      <c r="H23" s="445"/>
      <c r="I23" s="428"/>
    </row>
    <row r="24" spans="1:9" ht="20.100000000000001" customHeight="1" x14ac:dyDescent="0.25">
      <c r="A24" s="415" t="s">
        <v>1510</v>
      </c>
      <c r="B24" s="387" t="str">
        <f t="shared" ref="B24:B30" si="7">IFERROR(VLOOKUP(A24,Tabla_Datos,2,FALSE),0)</f>
        <v>Hormigon para escaleras exteriores</v>
      </c>
      <c r="C24" s="388" t="str">
        <f t="shared" ref="C24:C30" si="8">IFERROR(VLOOKUP(A24,Tabla_Datos,3,FALSE),0)</f>
        <v>m3</v>
      </c>
      <c r="D24" s="416">
        <v>0.25</v>
      </c>
      <c r="E24" s="417">
        <f t="shared" ref="E24:E30" si="9">IFERROR(VLOOKUP(A24,Tabla_Comp_Presup,7,FALSE),0)</f>
        <v>0</v>
      </c>
      <c r="F24" s="417">
        <f t="shared" ref="F24:F30" si="10">ROUND(D24*E24,15)</f>
        <v>0</v>
      </c>
      <c r="G24" s="428"/>
      <c r="H24" s="445"/>
      <c r="I24" s="428"/>
    </row>
    <row r="25" spans="1:9" ht="20.100000000000001" customHeight="1" x14ac:dyDescent="0.25">
      <c r="A25" s="415" t="s">
        <v>1511</v>
      </c>
      <c r="B25" s="387" t="str">
        <f t="shared" si="7"/>
        <v>Acero para losas</v>
      </c>
      <c r="C25" s="388" t="str">
        <f t="shared" si="8"/>
        <v>kg</v>
      </c>
      <c r="D25" s="416">
        <v>887.67</v>
      </c>
      <c r="E25" s="417">
        <f t="shared" si="9"/>
        <v>0</v>
      </c>
      <c r="F25" s="417">
        <f t="shared" si="10"/>
        <v>0</v>
      </c>
      <c r="G25" s="428"/>
      <c r="H25" s="445"/>
      <c r="I25" s="428"/>
    </row>
    <row r="26" spans="1:9" ht="20.100000000000001" customHeight="1" x14ac:dyDescent="0.25">
      <c r="A26" s="415" t="s">
        <v>1512</v>
      </c>
      <c r="B26" s="387" t="str">
        <f t="shared" si="7"/>
        <v>Acero para vigas</v>
      </c>
      <c r="C26" s="388" t="str">
        <f t="shared" si="8"/>
        <v>kg</v>
      </c>
      <c r="D26" s="416">
        <v>5366.96</v>
      </c>
      <c r="E26" s="417">
        <f t="shared" si="9"/>
        <v>0</v>
      </c>
      <c r="F26" s="417">
        <f t="shared" si="10"/>
        <v>0</v>
      </c>
      <c r="G26" s="428"/>
      <c r="H26" s="445"/>
      <c r="I26" s="428"/>
    </row>
    <row r="27" spans="1:9" ht="20.100000000000001" customHeight="1" x14ac:dyDescent="0.25">
      <c r="A27" s="415" t="s">
        <v>1513</v>
      </c>
      <c r="B27" s="387" t="str">
        <f t="shared" si="7"/>
        <v>Acero para columnas</v>
      </c>
      <c r="C27" s="388" t="str">
        <f t="shared" si="8"/>
        <v>kg</v>
      </c>
      <c r="D27" s="416">
        <v>2025.04</v>
      </c>
      <c r="E27" s="417">
        <f t="shared" si="9"/>
        <v>0</v>
      </c>
      <c r="F27" s="417">
        <f t="shared" si="10"/>
        <v>0</v>
      </c>
      <c r="G27" s="428"/>
      <c r="H27" s="445"/>
      <c r="I27" s="428"/>
    </row>
    <row r="28" spans="1:9" ht="20.100000000000001" customHeight="1" x14ac:dyDescent="0.25">
      <c r="A28" s="415" t="s">
        <v>1514</v>
      </c>
      <c r="B28" s="387" t="str">
        <f t="shared" si="7"/>
        <v>Acero para escaleras exteriores</v>
      </c>
      <c r="C28" s="388" t="str">
        <f t="shared" si="8"/>
        <v>kg</v>
      </c>
      <c r="D28" s="416">
        <v>50.02</v>
      </c>
      <c r="E28" s="417">
        <f t="shared" si="9"/>
        <v>0</v>
      </c>
      <c r="F28" s="417">
        <f t="shared" si="10"/>
        <v>0</v>
      </c>
      <c r="G28" s="428"/>
      <c r="H28" s="445"/>
      <c r="I28" s="428"/>
    </row>
    <row r="29" spans="1:9" ht="20.100000000000001" customHeight="1" x14ac:dyDescent="0.25">
      <c r="A29" s="415" t="s">
        <v>1515</v>
      </c>
      <c r="B29" s="387" t="str">
        <f t="shared" si="7"/>
        <v>estructura metalica de espacios comunes y chapa exterior</v>
      </c>
      <c r="C29" s="388" t="str">
        <f t="shared" si="8"/>
        <v>kg</v>
      </c>
      <c r="D29" s="416">
        <v>418.37</v>
      </c>
      <c r="E29" s="417">
        <f t="shared" si="9"/>
        <v>0</v>
      </c>
      <c r="F29" s="417">
        <f t="shared" si="10"/>
        <v>0</v>
      </c>
      <c r="G29" s="428"/>
      <c r="H29" s="445"/>
      <c r="I29" s="428"/>
    </row>
    <row r="30" spans="1:9" ht="20.100000000000001" customHeight="1" x14ac:dyDescent="0.25">
      <c r="A30" s="415" t="s">
        <v>1516</v>
      </c>
      <c r="B30" s="387" t="str">
        <f t="shared" si="7"/>
        <v>chapa lisa en gabinetes</v>
      </c>
      <c r="C30" s="388" t="str">
        <f t="shared" si="8"/>
        <v>kg</v>
      </c>
      <c r="D30" s="416">
        <v>4.49</v>
      </c>
      <c r="E30" s="417">
        <f t="shared" si="9"/>
        <v>0</v>
      </c>
      <c r="F30" s="417">
        <f t="shared" si="10"/>
        <v>0</v>
      </c>
      <c r="G30" s="428"/>
      <c r="H30" s="445"/>
      <c r="I30" s="428"/>
    </row>
    <row r="31" spans="1:9" ht="20.100000000000001" customHeight="1" x14ac:dyDescent="0.25">
      <c r="A31" s="415" t="s">
        <v>1519</v>
      </c>
      <c r="B31" s="387" t="str">
        <f t="shared" ref="B31" si="11">IFERROR(VLOOKUP(A31,Tabla_Datos,2,FALSE),0)</f>
        <v xml:space="preserve">chapa micro perforada </v>
      </c>
      <c r="C31" s="388" t="str">
        <f t="shared" ref="C31" si="12">IFERROR(VLOOKUP(A31,Tabla_Datos,3,FALSE),0)</f>
        <v>kg</v>
      </c>
      <c r="D31" s="416">
        <v>44.9</v>
      </c>
      <c r="E31" s="417">
        <f t="shared" ref="E31" si="13">IFERROR(VLOOKUP(A31,Tabla_Comp_Presup,7,FALSE),0)</f>
        <v>0</v>
      </c>
      <c r="F31" s="417">
        <f t="shared" ref="F31" si="14">ROUND(D31*E31,15)</f>
        <v>0</v>
      </c>
      <c r="G31" s="428"/>
      <c r="H31" s="445"/>
      <c r="I31" s="428"/>
    </row>
    <row r="32" spans="1:9" ht="20.100000000000001" customHeight="1" x14ac:dyDescent="0.25">
      <c r="A32" s="415">
        <v>5</v>
      </c>
      <c r="B32" s="387" t="str">
        <f t="shared" si="3"/>
        <v>ALBAÑILERÍA | CERRAMIENTOS VERTICALES</v>
      </c>
      <c r="C32" s="388">
        <f t="shared" si="4"/>
        <v>0</v>
      </c>
      <c r="D32" s="416"/>
      <c r="E32" s="417">
        <f t="shared" si="5"/>
        <v>0</v>
      </c>
      <c r="F32" s="417">
        <f t="shared" si="6"/>
        <v>0</v>
      </c>
      <c r="G32" s="428"/>
      <c r="H32" s="445"/>
      <c r="I32" s="428"/>
    </row>
    <row r="33" spans="1:9" ht="20.100000000000001" customHeight="1" x14ac:dyDescent="0.25">
      <c r="A33" s="415" t="s">
        <v>1304</v>
      </c>
      <c r="B33" s="387" t="str">
        <f t="shared" si="3"/>
        <v>Mampostería interior - Tabique Liviano</v>
      </c>
      <c r="C33" s="388" t="str">
        <f t="shared" si="4"/>
        <v>m2</v>
      </c>
      <c r="D33" s="416">
        <v>39.14</v>
      </c>
      <c r="E33" s="417">
        <f t="shared" si="5"/>
        <v>0</v>
      </c>
      <c r="F33" s="417">
        <f t="shared" si="6"/>
        <v>0</v>
      </c>
      <c r="G33" s="428"/>
      <c r="H33" s="445"/>
      <c r="I33" s="428"/>
    </row>
    <row r="34" spans="1:9" ht="20.100000000000001" customHeight="1" x14ac:dyDescent="0.25">
      <c r="A34" s="415" t="s">
        <v>1305</v>
      </c>
      <c r="B34" s="387" t="str">
        <f t="shared" si="3"/>
        <v>Mampostería exterior -  Muro de ladrillo ceramico hueco</v>
      </c>
      <c r="C34" s="388" t="str">
        <f t="shared" si="4"/>
        <v>m2</v>
      </c>
      <c r="D34" s="416">
        <v>68.64</v>
      </c>
      <c r="E34" s="417">
        <f t="shared" si="5"/>
        <v>0</v>
      </c>
      <c r="F34" s="417">
        <f t="shared" si="6"/>
        <v>0</v>
      </c>
      <c r="G34" s="428"/>
      <c r="H34" s="445"/>
      <c r="I34" s="428"/>
    </row>
    <row r="35" spans="1:9" ht="20.100000000000001" customHeight="1" x14ac:dyDescent="0.25">
      <c r="A35" s="415">
        <v>6</v>
      </c>
      <c r="B35" s="387" t="str">
        <f t="shared" si="3"/>
        <v>AISLACIONES Y REVOQUES</v>
      </c>
      <c r="C35" s="388">
        <f t="shared" si="4"/>
        <v>0</v>
      </c>
      <c r="D35" s="416"/>
      <c r="E35" s="417">
        <f t="shared" si="5"/>
        <v>0</v>
      </c>
      <c r="F35" s="417">
        <f t="shared" si="6"/>
        <v>0</v>
      </c>
      <c r="G35" s="428"/>
      <c r="H35" s="445"/>
      <c r="I35" s="428"/>
    </row>
    <row r="36" spans="1:9" ht="20.100000000000001" customHeight="1" x14ac:dyDescent="0.25">
      <c r="A36" s="415" t="s">
        <v>1306</v>
      </c>
      <c r="B36" s="387" t="str">
        <f t="shared" si="3"/>
        <v>Aislación hidrófuga horizontal en muros PB (cajón)</v>
      </c>
      <c r="C36" s="388" t="str">
        <f t="shared" si="4"/>
        <v>m2</v>
      </c>
      <c r="D36" s="416">
        <v>6.17</v>
      </c>
      <c r="E36" s="417">
        <f t="shared" si="5"/>
        <v>0</v>
      </c>
      <c r="F36" s="417">
        <f t="shared" si="6"/>
        <v>0</v>
      </c>
      <c r="G36" s="428"/>
      <c r="H36" s="445"/>
      <c r="I36" s="428"/>
    </row>
    <row r="37" spans="1:9" ht="20.100000000000001" customHeight="1" x14ac:dyDescent="0.25">
      <c r="A37" s="415" t="s">
        <v>1307</v>
      </c>
      <c r="B37" s="387" t="str">
        <f t="shared" si="3"/>
        <v>Revoque grueso bajo revestimiento en locales húmedos</v>
      </c>
      <c r="C37" s="388" t="str">
        <f t="shared" si="4"/>
        <v>m2</v>
      </c>
      <c r="D37" s="416">
        <v>4.7140000000000004</v>
      </c>
      <c r="E37" s="417">
        <f t="shared" si="5"/>
        <v>0</v>
      </c>
      <c r="F37" s="417">
        <f t="shared" si="6"/>
        <v>0</v>
      </c>
      <c r="G37" s="428"/>
      <c r="H37" s="445"/>
      <c r="I37" s="428"/>
    </row>
    <row r="38" spans="1:9" ht="20.100000000000001" customHeight="1" x14ac:dyDescent="0.25">
      <c r="A38" s="415" t="s">
        <v>1308</v>
      </c>
      <c r="B38" s="387" t="str">
        <f t="shared" si="3"/>
        <v xml:space="preserve">Revoque  y enlucido interior </v>
      </c>
      <c r="C38" s="388" t="str">
        <f t="shared" si="4"/>
        <v>m2</v>
      </c>
      <c r="D38" s="416">
        <v>81.757800000000003</v>
      </c>
      <c r="E38" s="417">
        <f t="shared" si="5"/>
        <v>0</v>
      </c>
      <c r="F38" s="417">
        <f t="shared" si="6"/>
        <v>0</v>
      </c>
      <c r="G38" s="428"/>
      <c r="H38" s="445"/>
      <c r="I38" s="428"/>
    </row>
    <row r="39" spans="1:9" ht="20.100000000000001" customHeight="1" x14ac:dyDescent="0.25">
      <c r="A39" s="415" t="s">
        <v>1309</v>
      </c>
      <c r="B39" s="387" t="str">
        <f t="shared" si="3"/>
        <v>Revoque exterior</v>
      </c>
      <c r="C39" s="388" t="str">
        <f t="shared" si="4"/>
        <v>m2</v>
      </c>
      <c r="D39" s="416">
        <v>63.398000000000003</v>
      </c>
      <c r="E39" s="417">
        <f t="shared" si="5"/>
        <v>0</v>
      </c>
      <c r="F39" s="417">
        <f t="shared" si="6"/>
        <v>0</v>
      </c>
      <c r="G39" s="428"/>
      <c r="H39" s="445"/>
      <c r="I39" s="428"/>
    </row>
    <row r="40" spans="1:9" ht="20.100000000000001" customHeight="1" x14ac:dyDescent="0.25">
      <c r="A40" s="415">
        <v>7</v>
      </c>
      <c r="B40" s="387" t="str">
        <f t="shared" si="3"/>
        <v>REVESTIMIENTOS</v>
      </c>
      <c r="C40" s="388">
        <f t="shared" si="4"/>
        <v>0</v>
      </c>
      <c r="D40" s="416"/>
      <c r="E40" s="417">
        <f t="shared" si="5"/>
        <v>0</v>
      </c>
      <c r="F40" s="417">
        <f t="shared" si="6"/>
        <v>0</v>
      </c>
      <c r="G40" s="428"/>
      <c r="H40" s="445"/>
      <c r="I40" s="428"/>
    </row>
    <row r="41" spans="1:9" ht="20.100000000000001" customHeight="1" x14ac:dyDescent="0.25">
      <c r="A41" s="415" t="s">
        <v>1310</v>
      </c>
      <c r="B41" s="387" t="str">
        <f t="shared" si="3"/>
        <v>Cerámico Cocina y baño</v>
      </c>
      <c r="C41" s="388" t="str">
        <f t="shared" si="4"/>
        <v>m2</v>
      </c>
      <c r="D41" s="416">
        <v>21.76</v>
      </c>
      <c r="E41" s="417">
        <f t="shared" si="5"/>
        <v>0</v>
      </c>
      <c r="F41" s="417">
        <f t="shared" si="6"/>
        <v>0</v>
      </c>
      <c r="G41" s="428"/>
      <c r="H41" s="445"/>
      <c r="I41" s="428"/>
    </row>
    <row r="42" spans="1:9" ht="20.100000000000001" customHeight="1" x14ac:dyDescent="0.25">
      <c r="A42" s="415">
        <v>8</v>
      </c>
      <c r="B42" s="387" t="str">
        <f t="shared" si="3"/>
        <v>PINTURA</v>
      </c>
      <c r="C42" s="388">
        <f t="shared" si="4"/>
        <v>0</v>
      </c>
      <c r="D42" s="416"/>
      <c r="E42" s="417">
        <f t="shared" si="5"/>
        <v>0</v>
      </c>
      <c r="F42" s="417">
        <f t="shared" si="6"/>
        <v>0</v>
      </c>
      <c r="G42" s="428"/>
      <c r="H42" s="445"/>
      <c r="I42" s="428"/>
    </row>
    <row r="43" spans="1:9" ht="20.100000000000001" customHeight="1" x14ac:dyDescent="0.25">
      <c r="A43" s="415" t="s">
        <v>1311</v>
      </c>
      <c r="B43" s="387" t="str">
        <f t="shared" si="3"/>
        <v>Pintura al látex en muros</v>
      </c>
      <c r="C43" s="388" t="str">
        <f t="shared" si="4"/>
        <v>m2</v>
      </c>
      <c r="D43" s="416">
        <v>160.03</v>
      </c>
      <c r="E43" s="417">
        <f t="shared" si="5"/>
        <v>0</v>
      </c>
      <c r="F43" s="417">
        <f t="shared" si="6"/>
        <v>0</v>
      </c>
      <c r="G43" s="428"/>
      <c r="H43" s="445"/>
      <c r="I43" s="428"/>
    </row>
    <row r="44" spans="1:9" ht="20.100000000000001" customHeight="1" x14ac:dyDescent="0.25">
      <c r="A44" s="415" t="s">
        <v>1312</v>
      </c>
      <c r="B44" s="387" t="str">
        <f t="shared" si="3"/>
        <v>Pintura al látex en cielorrasos</v>
      </c>
      <c r="C44" s="388" t="str">
        <f t="shared" si="4"/>
        <v>m2</v>
      </c>
      <c r="D44" s="416">
        <v>85.67</v>
      </c>
      <c r="E44" s="417">
        <f t="shared" si="5"/>
        <v>0</v>
      </c>
      <c r="F44" s="417">
        <f t="shared" si="6"/>
        <v>0</v>
      </c>
      <c r="G44" s="428"/>
      <c r="H44" s="445"/>
      <c r="I44" s="428"/>
    </row>
    <row r="45" spans="1:9" ht="20.100000000000001" customHeight="1" x14ac:dyDescent="0.25">
      <c r="A45" s="415" t="s">
        <v>1313</v>
      </c>
      <c r="B45" s="387" t="str">
        <f t="shared" si="3"/>
        <v xml:space="preserve">Pintura látex antihongos                                                                                                                                                                   </v>
      </c>
      <c r="C45" s="388" t="str">
        <f t="shared" si="4"/>
        <v>m2</v>
      </c>
      <c r="D45" s="416">
        <v>3.87</v>
      </c>
      <c r="E45" s="417">
        <f t="shared" si="5"/>
        <v>0</v>
      </c>
      <c r="F45" s="417">
        <f t="shared" si="6"/>
        <v>0</v>
      </c>
      <c r="G45" s="428"/>
      <c r="H45" s="445"/>
      <c r="I45" s="428"/>
    </row>
    <row r="46" spans="1:9" ht="20.100000000000001" customHeight="1" x14ac:dyDescent="0.25">
      <c r="A46" s="415" t="s">
        <v>1314</v>
      </c>
      <c r="B46" s="387" t="str">
        <f t="shared" si="3"/>
        <v>Pintura al látex exterioren muros</v>
      </c>
      <c r="C46" s="388" t="str">
        <f t="shared" si="4"/>
        <v>m2</v>
      </c>
      <c r="D46" s="416">
        <v>63.36</v>
      </c>
      <c r="E46" s="417">
        <f t="shared" si="5"/>
        <v>0</v>
      </c>
      <c r="F46" s="417">
        <f t="shared" si="6"/>
        <v>0</v>
      </c>
      <c r="G46" s="428"/>
      <c r="H46" s="445"/>
      <c r="I46" s="428"/>
    </row>
    <row r="47" spans="1:9" ht="20.100000000000001" customHeight="1" x14ac:dyDescent="0.25">
      <c r="A47" s="415" t="s">
        <v>1315</v>
      </c>
      <c r="B47" s="387" t="str">
        <f t="shared" si="3"/>
        <v>Pintura esmalte sintético carpinterías de chapa</v>
      </c>
      <c r="C47" s="388" t="str">
        <f t="shared" si="4"/>
        <v>gl</v>
      </c>
      <c r="D47" s="416">
        <v>1</v>
      </c>
      <c r="E47" s="417">
        <f t="shared" si="5"/>
        <v>0</v>
      </c>
      <c r="F47" s="417">
        <f t="shared" si="6"/>
        <v>0</v>
      </c>
      <c r="G47" s="428"/>
      <c r="H47" s="445"/>
      <c r="I47" s="428"/>
    </row>
    <row r="48" spans="1:9" ht="20.100000000000001" customHeight="1" x14ac:dyDescent="0.25">
      <c r="A48" s="415" t="s">
        <v>1316</v>
      </c>
      <c r="B48" s="387" t="str">
        <f t="shared" si="3"/>
        <v>Pintura esmalte sintético carpinterías de madera</v>
      </c>
      <c r="C48" s="388" t="str">
        <f t="shared" si="4"/>
        <v>gl</v>
      </c>
      <c r="D48" s="416">
        <v>1</v>
      </c>
      <c r="E48" s="417">
        <f t="shared" si="5"/>
        <v>0</v>
      </c>
      <c r="F48" s="417">
        <f t="shared" si="6"/>
        <v>0</v>
      </c>
      <c r="G48" s="428"/>
      <c r="H48" s="445"/>
      <c r="I48" s="428"/>
    </row>
    <row r="49" spans="1:9" ht="20.100000000000001" customHeight="1" x14ac:dyDescent="0.25">
      <c r="A49" s="415">
        <v>9</v>
      </c>
      <c r="B49" s="387" t="str">
        <f t="shared" si="3"/>
        <v>CONTRAPISOS y CARPETAS</v>
      </c>
      <c r="C49" s="388">
        <f t="shared" si="4"/>
        <v>0</v>
      </c>
      <c r="D49" s="416"/>
      <c r="E49" s="417">
        <f t="shared" si="5"/>
        <v>0</v>
      </c>
      <c r="F49" s="417">
        <f t="shared" si="6"/>
        <v>0</v>
      </c>
      <c r="G49" s="428"/>
      <c r="H49" s="445"/>
      <c r="I49" s="428"/>
    </row>
    <row r="50" spans="1:9" ht="20.100000000000001" customHeight="1" x14ac:dyDescent="0.25">
      <c r="A50" s="415" t="s">
        <v>1328</v>
      </c>
      <c r="B50" s="387" t="str">
        <f t="shared" si="3"/>
        <v xml:space="preserve">Contrapiso sobre losa de HºPº esp= 8cm </v>
      </c>
      <c r="C50" s="388" t="str">
        <f t="shared" si="4"/>
        <v>m2</v>
      </c>
      <c r="D50" s="416">
        <v>137.35</v>
      </c>
      <c r="E50" s="417">
        <f t="shared" si="5"/>
        <v>0</v>
      </c>
      <c r="F50" s="417">
        <f t="shared" si="6"/>
        <v>0</v>
      </c>
      <c r="G50" s="428"/>
      <c r="H50" s="445"/>
      <c r="I50" s="428"/>
    </row>
    <row r="51" spans="1:9" ht="20.100000000000001" customHeight="1" x14ac:dyDescent="0.25">
      <c r="A51" s="415" t="s">
        <v>1329</v>
      </c>
      <c r="B51" s="387" t="str">
        <f t="shared" si="3"/>
        <v>Contrapiso para terrazas o azoteas con pendiente según documentación de Proyecto</v>
      </c>
      <c r="C51" s="388" t="str">
        <f t="shared" si="4"/>
        <v>m2</v>
      </c>
      <c r="D51" s="416">
        <v>4.59</v>
      </c>
      <c r="E51" s="417">
        <f t="shared" si="5"/>
        <v>0</v>
      </c>
      <c r="F51" s="417">
        <f t="shared" si="6"/>
        <v>0</v>
      </c>
      <c r="G51" s="428"/>
      <c r="H51" s="445"/>
      <c r="I51" s="428"/>
    </row>
    <row r="52" spans="1:9" ht="20.100000000000001" customHeight="1" x14ac:dyDescent="0.25">
      <c r="A52" s="415" t="s">
        <v>1330</v>
      </c>
      <c r="B52" s="387" t="str">
        <f t="shared" si="3"/>
        <v>Banquina bajo mueble de cocina</v>
      </c>
      <c r="C52" s="388" t="str">
        <f t="shared" si="4"/>
        <v>m2</v>
      </c>
      <c r="D52" s="416">
        <v>1.79</v>
      </c>
      <c r="E52" s="417">
        <f t="shared" si="5"/>
        <v>0</v>
      </c>
      <c r="F52" s="417">
        <f t="shared" si="6"/>
        <v>0</v>
      </c>
      <c r="G52" s="428"/>
      <c r="H52" s="445"/>
      <c r="I52" s="428"/>
    </row>
    <row r="53" spans="1:9" ht="20.100000000000001" customHeight="1" x14ac:dyDescent="0.25">
      <c r="A53" s="415" t="s">
        <v>1331</v>
      </c>
      <c r="B53" s="387" t="str">
        <f t="shared" si="3"/>
        <v xml:space="preserve">Carpeta bajo ceramico </v>
      </c>
      <c r="C53" s="388" t="str">
        <f t="shared" si="4"/>
        <v>m2</v>
      </c>
      <c r="D53" s="416">
        <v>85.67</v>
      </c>
      <c r="E53" s="417">
        <f t="shared" si="5"/>
        <v>0</v>
      </c>
      <c r="F53" s="417">
        <f t="shared" si="6"/>
        <v>0</v>
      </c>
      <c r="G53" s="428"/>
      <c r="H53" s="445"/>
      <c r="I53" s="428"/>
    </row>
    <row r="54" spans="1:9" ht="20.100000000000001" customHeight="1" x14ac:dyDescent="0.25">
      <c r="A54" s="415">
        <v>10</v>
      </c>
      <c r="B54" s="387" t="str">
        <f t="shared" si="3"/>
        <v xml:space="preserve">PISOS Y ZOCALOS </v>
      </c>
      <c r="C54" s="388">
        <f t="shared" si="4"/>
        <v>0</v>
      </c>
      <c r="D54" s="416"/>
      <c r="E54" s="417">
        <f t="shared" si="5"/>
        <v>0</v>
      </c>
      <c r="F54" s="417">
        <f t="shared" si="6"/>
        <v>0</v>
      </c>
      <c r="G54" s="428"/>
      <c r="H54" s="445"/>
      <c r="I54" s="428"/>
    </row>
    <row r="55" spans="1:9" ht="20.100000000000001" customHeight="1" x14ac:dyDescent="0.25">
      <c r="A55" s="415" t="s">
        <v>1332</v>
      </c>
      <c r="B55" s="387" t="str">
        <f t="shared" si="3"/>
        <v>Piso ceramico de primera calidad</v>
      </c>
      <c r="C55" s="388" t="str">
        <f t="shared" si="4"/>
        <v>m2</v>
      </c>
      <c r="D55" s="416">
        <v>85.676500000000004</v>
      </c>
      <c r="E55" s="417">
        <f t="shared" si="5"/>
        <v>0</v>
      </c>
      <c r="F55" s="417">
        <f t="shared" si="6"/>
        <v>0</v>
      </c>
      <c r="G55" s="428"/>
      <c r="H55" s="445"/>
      <c r="I55" s="428"/>
    </row>
    <row r="56" spans="1:9" ht="20.100000000000001" customHeight="1" x14ac:dyDescent="0.25">
      <c r="A56" s="415" t="s">
        <v>1333</v>
      </c>
      <c r="B56" s="387" t="str">
        <f t="shared" si="3"/>
        <v>Zocalo ceramico</v>
      </c>
      <c r="C56" s="388" t="str">
        <f t="shared" si="4"/>
        <v>ml</v>
      </c>
      <c r="D56" s="416">
        <v>70.77</v>
      </c>
      <c r="E56" s="417">
        <f t="shared" si="5"/>
        <v>0</v>
      </c>
      <c r="F56" s="417">
        <f t="shared" si="6"/>
        <v>0</v>
      </c>
      <c r="G56" s="428"/>
      <c r="H56" s="445"/>
      <c r="I56" s="428"/>
    </row>
    <row r="57" spans="1:9" ht="20.100000000000001" customHeight="1" x14ac:dyDescent="0.25">
      <c r="A57" s="415">
        <v>11</v>
      </c>
      <c r="B57" s="387" t="str">
        <f t="shared" si="3"/>
        <v xml:space="preserve">CIELORRASOS  </v>
      </c>
      <c r="C57" s="388">
        <f t="shared" si="4"/>
        <v>0</v>
      </c>
      <c r="D57" s="416"/>
      <c r="E57" s="417">
        <f t="shared" si="5"/>
        <v>0</v>
      </c>
      <c r="F57" s="417">
        <f t="shared" si="6"/>
        <v>0</v>
      </c>
      <c r="G57" s="428"/>
      <c r="H57" s="445"/>
      <c r="I57" s="428"/>
    </row>
    <row r="58" spans="1:9" ht="20.100000000000001" customHeight="1" x14ac:dyDescent="0.25">
      <c r="A58" s="415" t="s">
        <v>1334</v>
      </c>
      <c r="B58" s="387" t="str">
        <f t="shared" si="3"/>
        <v>Cielorraso aplicado enlucido de yeso</v>
      </c>
      <c r="C58" s="388" t="str">
        <f t="shared" si="4"/>
        <v>m2</v>
      </c>
      <c r="D58" s="416">
        <v>85.676000000000002</v>
      </c>
      <c r="E58" s="417">
        <f t="shared" si="5"/>
        <v>0</v>
      </c>
      <c r="F58" s="417">
        <f t="shared" si="6"/>
        <v>0</v>
      </c>
      <c r="G58" s="428"/>
      <c r="H58" s="445"/>
      <c r="I58" s="428"/>
    </row>
    <row r="59" spans="1:9" ht="20.100000000000001" customHeight="1" x14ac:dyDescent="0.25">
      <c r="A59" s="415" t="s">
        <v>1335</v>
      </c>
      <c r="B59" s="387" t="str">
        <f t="shared" si="3"/>
        <v>Suspendidos de placa de roca de yeso resistente a la humedad ( con proteccion acustica)</v>
      </c>
      <c r="C59" s="388" t="str">
        <f t="shared" si="4"/>
        <v>m2</v>
      </c>
      <c r="D59" s="416">
        <v>3.8769999999999998</v>
      </c>
      <c r="E59" s="417">
        <f t="shared" si="5"/>
        <v>0</v>
      </c>
      <c r="F59" s="417">
        <f t="shared" si="6"/>
        <v>0</v>
      </c>
      <c r="G59" s="428"/>
      <c r="H59" s="445"/>
      <c r="I59" s="428"/>
    </row>
    <row r="60" spans="1:9" ht="20.100000000000001" customHeight="1" x14ac:dyDescent="0.25">
      <c r="A60" s="415">
        <v>12</v>
      </c>
      <c r="B60" s="387" t="str">
        <f t="shared" si="3"/>
        <v xml:space="preserve">CUBIERTA </v>
      </c>
      <c r="C60" s="388">
        <f t="shared" si="4"/>
        <v>0</v>
      </c>
      <c r="D60" s="416"/>
      <c r="E60" s="417">
        <f t="shared" si="5"/>
        <v>0</v>
      </c>
      <c r="F60" s="417">
        <f t="shared" si="6"/>
        <v>0</v>
      </c>
      <c r="G60" s="428"/>
      <c r="H60" s="445"/>
      <c r="I60" s="428"/>
    </row>
    <row r="61" spans="1:9" ht="20.100000000000001" customHeight="1" x14ac:dyDescent="0.25">
      <c r="A61" s="415" t="s">
        <v>1386</v>
      </c>
      <c r="B61" s="387" t="str">
        <f t="shared" si="3"/>
        <v>Hormigón Liviano con Pendiente | esp min 5 cm</v>
      </c>
      <c r="C61" s="388" t="str">
        <f t="shared" si="4"/>
        <v>m2</v>
      </c>
      <c r="D61" s="416">
        <v>17.13</v>
      </c>
      <c r="E61" s="417">
        <f t="shared" si="5"/>
        <v>0</v>
      </c>
      <c r="F61" s="417">
        <f t="shared" si="6"/>
        <v>0</v>
      </c>
      <c r="G61" s="428"/>
      <c r="H61" s="445"/>
      <c r="I61" s="428"/>
    </row>
    <row r="62" spans="1:9" ht="20.100000000000001" customHeight="1" x14ac:dyDescent="0.25">
      <c r="A62" s="415" t="s">
        <v>1387</v>
      </c>
      <c r="B62" s="387" t="str">
        <f t="shared" si="3"/>
        <v>Pintura asfáltica para imprimación de membrana</v>
      </c>
      <c r="C62" s="388" t="str">
        <f t="shared" si="4"/>
        <v>m2</v>
      </c>
      <c r="D62" s="416">
        <v>17.13</v>
      </c>
      <c r="E62" s="417">
        <f t="shared" si="5"/>
        <v>0</v>
      </c>
      <c r="F62" s="417">
        <f t="shared" si="6"/>
        <v>0</v>
      </c>
      <c r="G62" s="428"/>
      <c r="H62" s="445"/>
      <c r="I62" s="428"/>
    </row>
    <row r="63" spans="1:9" ht="20.100000000000001" customHeight="1" x14ac:dyDescent="0.25">
      <c r="A63" s="415" t="s">
        <v>1388</v>
      </c>
      <c r="B63" s="387" t="str">
        <f t="shared" si="3"/>
        <v>Membrana Asfáltica 4mm terminación aluminio gofrado de 40 micrones</v>
      </c>
      <c r="C63" s="388" t="str">
        <f t="shared" si="4"/>
        <v>m2</v>
      </c>
      <c r="D63" s="416">
        <v>17.13</v>
      </c>
      <c r="E63" s="417">
        <f t="shared" si="5"/>
        <v>0</v>
      </c>
      <c r="F63" s="417">
        <f t="shared" si="6"/>
        <v>0</v>
      </c>
      <c r="G63" s="428"/>
      <c r="H63" s="445"/>
      <c r="I63" s="428"/>
    </row>
    <row r="64" spans="1:9" ht="20.100000000000001" customHeight="1" x14ac:dyDescent="0.25">
      <c r="A64" s="415">
        <v>13</v>
      </c>
      <c r="B64" s="387" t="str">
        <f t="shared" si="3"/>
        <v>CARPINTERIAS</v>
      </c>
      <c r="C64" s="388">
        <f t="shared" si="4"/>
        <v>0</v>
      </c>
      <c r="D64" s="416"/>
      <c r="E64" s="417">
        <f t="shared" si="5"/>
        <v>0</v>
      </c>
      <c r="F64" s="417">
        <f t="shared" si="6"/>
        <v>0</v>
      </c>
      <c r="G64" s="428"/>
      <c r="H64" s="445"/>
      <c r="I64" s="428"/>
    </row>
    <row r="65" spans="1:9" ht="20.100000000000001" customHeight="1" x14ac:dyDescent="0.25">
      <c r="A65" s="415" t="s">
        <v>1389</v>
      </c>
      <c r="B65" s="387" t="str">
        <f t="shared" si="3"/>
        <v>Carpinterías interiores de madera</v>
      </c>
      <c r="C65" s="388" t="str">
        <f t="shared" si="4"/>
        <v>u</v>
      </c>
      <c r="D65" s="416">
        <v>3.0612200000000001</v>
      </c>
      <c r="E65" s="417">
        <f t="shared" si="5"/>
        <v>0</v>
      </c>
      <c r="F65" s="417">
        <f t="shared" si="6"/>
        <v>0</v>
      </c>
      <c r="G65" s="428"/>
      <c r="H65" s="445"/>
      <c r="I65" s="428"/>
    </row>
    <row r="66" spans="1:9" ht="20.100000000000001" customHeight="1" x14ac:dyDescent="0.25">
      <c r="A66" s="415" t="s">
        <v>1390</v>
      </c>
      <c r="B66" s="387" t="str">
        <f t="shared" si="3"/>
        <v>Puerta de ingreso a vivienda (2.05 x 0.9)</v>
      </c>
      <c r="C66" s="388" t="str">
        <f t="shared" si="4"/>
        <v>u</v>
      </c>
      <c r="D66" s="416">
        <v>1.020408</v>
      </c>
      <c r="E66" s="417">
        <f t="shared" si="5"/>
        <v>0</v>
      </c>
      <c r="F66" s="417">
        <f t="shared" si="6"/>
        <v>0</v>
      </c>
      <c r="G66" s="428"/>
      <c r="H66" s="445"/>
      <c r="I66" s="428"/>
    </row>
    <row r="67" spans="1:9" ht="20.100000000000001" customHeight="1" x14ac:dyDescent="0.25">
      <c r="A67" s="415" t="s">
        <v>1391</v>
      </c>
      <c r="B67" s="387" t="str">
        <f t="shared" si="3"/>
        <v>Ventanas Tipo C02(2,40 x 1,55)</v>
      </c>
      <c r="C67" s="388" t="str">
        <f t="shared" si="4"/>
        <v>u</v>
      </c>
      <c r="D67" s="416">
        <v>1.020408</v>
      </c>
      <c r="E67" s="417">
        <f t="shared" si="5"/>
        <v>0</v>
      </c>
      <c r="F67" s="417">
        <f t="shared" si="6"/>
        <v>0</v>
      </c>
      <c r="G67" s="428"/>
      <c r="H67" s="445"/>
      <c r="I67" s="428"/>
    </row>
    <row r="68" spans="1:9" ht="20.100000000000001" customHeight="1" x14ac:dyDescent="0.25">
      <c r="A68" s="415" t="s">
        <v>1392</v>
      </c>
      <c r="B68" s="387" t="str">
        <f t="shared" si="3"/>
        <v>Ventanas Tipo C05 (1,20 x 1,55)</v>
      </c>
      <c r="C68" s="388" t="str">
        <f t="shared" si="4"/>
        <v>u</v>
      </c>
      <c r="D68" s="416">
        <v>3.0612249999999999</v>
      </c>
      <c r="E68" s="417">
        <f t="shared" si="5"/>
        <v>0</v>
      </c>
      <c r="F68" s="417">
        <f t="shared" si="6"/>
        <v>0</v>
      </c>
      <c r="G68" s="428"/>
      <c r="H68" s="445"/>
      <c r="I68" s="428"/>
    </row>
    <row r="69" spans="1:9" ht="20.100000000000001" customHeight="1" x14ac:dyDescent="0.25">
      <c r="A69" s="415">
        <v>14</v>
      </c>
      <c r="B69" s="387" t="str">
        <f t="shared" si="3"/>
        <v>MARMOLERÍA</v>
      </c>
      <c r="C69" s="388">
        <f t="shared" si="4"/>
        <v>0</v>
      </c>
      <c r="D69" s="416"/>
      <c r="E69" s="417">
        <f t="shared" si="5"/>
        <v>0</v>
      </c>
      <c r="F69" s="417">
        <f t="shared" si="6"/>
        <v>0</v>
      </c>
      <c r="G69" s="428"/>
      <c r="H69" s="445"/>
      <c r="I69" s="428"/>
    </row>
    <row r="70" spans="1:9" ht="20.100000000000001" customHeight="1" x14ac:dyDescent="0.25">
      <c r="A70" s="415" t="s">
        <v>1393</v>
      </c>
      <c r="B70" s="387" t="str">
        <f t="shared" si="3"/>
        <v>Mesada de cocina en granito</v>
      </c>
      <c r="C70" s="388" t="str">
        <f t="shared" si="4"/>
        <v>m2</v>
      </c>
      <c r="D70" s="416">
        <v>1.6326499999999999</v>
      </c>
      <c r="E70" s="417">
        <f t="shared" si="5"/>
        <v>0</v>
      </c>
      <c r="F70" s="417">
        <f t="shared" si="6"/>
        <v>0</v>
      </c>
      <c r="G70" s="428"/>
      <c r="H70" s="445"/>
      <c r="I70" s="428"/>
    </row>
    <row r="71" spans="1:9" ht="20.100000000000001" customHeight="1" x14ac:dyDescent="0.25">
      <c r="A71" s="415">
        <v>15</v>
      </c>
      <c r="B71" s="387" t="str">
        <f t="shared" si="3"/>
        <v>INSTALACIÓN ELÉCTRICA</v>
      </c>
      <c r="C71" s="388">
        <f t="shared" si="4"/>
        <v>0</v>
      </c>
      <c r="D71" s="416"/>
      <c r="E71" s="417">
        <f t="shared" si="5"/>
        <v>0</v>
      </c>
      <c r="F71" s="417">
        <f t="shared" si="6"/>
        <v>0</v>
      </c>
      <c r="G71" s="428"/>
      <c r="H71" s="445"/>
      <c r="I71" s="428"/>
    </row>
    <row r="72" spans="1:9" ht="20.100000000000001" customHeight="1" x14ac:dyDescent="0.25">
      <c r="A72" s="415" t="s">
        <v>1394</v>
      </c>
      <c r="B72" s="387" t="str">
        <f t="shared" si="3"/>
        <v>Instalación eléctrica</v>
      </c>
      <c r="C72" s="388" t="str">
        <f t="shared" si="4"/>
        <v>gl</v>
      </c>
      <c r="D72" s="416">
        <v>1</v>
      </c>
      <c r="E72" s="417">
        <f t="shared" si="5"/>
        <v>0</v>
      </c>
      <c r="F72" s="417">
        <f t="shared" si="6"/>
        <v>0</v>
      </c>
      <c r="G72" s="428"/>
      <c r="H72" s="445"/>
      <c r="I72" s="428"/>
    </row>
    <row r="73" spans="1:9" ht="20.100000000000001" customHeight="1" x14ac:dyDescent="0.25">
      <c r="A73" s="415" t="s">
        <v>1395</v>
      </c>
      <c r="B73" s="387" t="str">
        <f t="shared" si="3"/>
        <v>Tablero principal</v>
      </c>
      <c r="C73" s="388" t="str">
        <f t="shared" si="4"/>
        <v>gl</v>
      </c>
      <c r="D73" s="416">
        <v>1</v>
      </c>
      <c r="E73" s="417">
        <f t="shared" si="5"/>
        <v>0</v>
      </c>
      <c r="F73" s="417">
        <f t="shared" si="6"/>
        <v>0</v>
      </c>
      <c r="G73" s="428"/>
      <c r="H73" s="445"/>
      <c r="I73" s="428"/>
    </row>
    <row r="74" spans="1:9" ht="20.100000000000001" customHeight="1" x14ac:dyDescent="0.25">
      <c r="A74" s="415" t="s">
        <v>1396</v>
      </c>
      <c r="B74" s="387" t="str">
        <f t="shared" si="3"/>
        <v>Tablero secundarios</v>
      </c>
      <c r="C74" s="388" t="str">
        <f t="shared" si="4"/>
        <v>gl</v>
      </c>
      <c r="D74" s="416">
        <v>1</v>
      </c>
      <c r="E74" s="417">
        <f t="shared" si="5"/>
        <v>0</v>
      </c>
      <c r="F74" s="417">
        <f t="shared" si="6"/>
        <v>0</v>
      </c>
      <c r="G74" s="428"/>
      <c r="H74" s="445"/>
      <c r="I74" s="428"/>
    </row>
    <row r="75" spans="1:9" ht="20.100000000000001" customHeight="1" x14ac:dyDescent="0.25">
      <c r="A75" s="415" t="s">
        <v>1397</v>
      </c>
      <c r="B75" s="387" t="str">
        <f t="shared" si="3"/>
        <v>Bocas iluminación UF</v>
      </c>
      <c r="C75" s="388" t="str">
        <f t="shared" si="4"/>
        <v>gl</v>
      </c>
      <c r="D75" s="416">
        <v>1</v>
      </c>
      <c r="E75" s="417">
        <f t="shared" si="5"/>
        <v>0</v>
      </c>
      <c r="F75" s="417">
        <f t="shared" si="6"/>
        <v>0</v>
      </c>
      <c r="G75" s="428"/>
      <c r="H75" s="445"/>
      <c r="I75" s="428"/>
    </row>
    <row r="76" spans="1:9" ht="20.100000000000001" customHeight="1" x14ac:dyDescent="0.25">
      <c r="A76" s="415" t="s">
        <v>1398</v>
      </c>
      <c r="B76" s="387" t="str">
        <f t="shared" si="3"/>
        <v>Bocas iluminación Uc</v>
      </c>
      <c r="C76" s="388" t="str">
        <f t="shared" si="4"/>
        <v>gl</v>
      </c>
      <c r="D76" s="416">
        <v>1</v>
      </c>
      <c r="E76" s="417">
        <f t="shared" si="5"/>
        <v>0</v>
      </c>
      <c r="F76" s="417">
        <f t="shared" si="6"/>
        <v>0</v>
      </c>
      <c r="G76" s="428"/>
      <c r="H76" s="445"/>
      <c r="I76" s="428"/>
    </row>
    <row r="77" spans="1:9" ht="20.100000000000001" customHeight="1" x14ac:dyDescent="0.25">
      <c r="A77" s="415" t="s">
        <v>1399</v>
      </c>
      <c r="B77" s="387" t="str">
        <f t="shared" si="3"/>
        <v>Boca toma corriente uso común</v>
      </c>
      <c r="C77" s="388" t="str">
        <f t="shared" si="4"/>
        <v>gl</v>
      </c>
      <c r="D77" s="416">
        <v>1</v>
      </c>
      <c r="E77" s="417">
        <f t="shared" si="5"/>
        <v>0</v>
      </c>
      <c r="F77" s="417">
        <f t="shared" si="6"/>
        <v>0</v>
      </c>
      <c r="G77" s="428"/>
      <c r="H77" s="445"/>
      <c r="I77" s="428"/>
    </row>
    <row r="78" spans="1:9" ht="20.100000000000001" customHeight="1" x14ac:dyDescent="0.25">
      <c r="A78" s="415" t="s">
        <v>1400</v>
      </c>
      <c r="B78" s="387" t="str">
        <f t="shared" si="3"/>
        <v>Llaves</v>
      </c>
      <c r="C78" s="388" t="str">
        <f t="shared" si="4"/>
        <v>gl</v>
      </c>
      <c r="D78" s="416">
        <v>1</v>
      </c>
      <c r="E78" s="417">
        <f t="shared" si="5"/>
        <v>0</v>
      </c>
      <c r="F78" s="417">
        <f t="shared" si="6"/>
        <v>0</v>
      </c>
      <c r="G78" s="428"/>
      <c r="H78" s="445"/>
      <c r="I78" s="428"/>
    </row>
    <row r="79" spans="1:9" ht="20.100000000000001" customHeight="1" x14ac:dyDescent="0.25">
      <c r="A79" s="415" t="s">
        <v>1401</v>
      </c>
      <c r="B79" s="387" t="str">
        <f t="shared" si="3"/>
        <v xml:space="preserve">Boca teléfono, timbre, TV y portero </v>
      </c>
      <c r="C79" s="388" t="str">
        <f t="shared" si="4"/>
        <v>gl</v>
      </c>
      <c r="D79" s="416">
        <v>1</v>
      </c>
      <c r="E79" s="417">
        <f t="shared" si="5"/>
        <v>0</v>
      </c>
      <c r="F79" s="417">
        <f t="shared" si="6"/>
        <v>0</v>
      </c>
      <c r="G79" s="428"/>
      <c r="H79" s="445"/>
      <c r="I79" s="428"/>
    </row>
    <row r="80" spans="1:9" ht="20.100000000000001" customHeight="1" x14ac:dyDescent="0.25">
      <c r="A80" s="415" t="s">
        <v>1402</v>
      </c>
      <c r="B80" s="387" t="str">
        <f t="shared" si="3"/>
        <v>Instalacion equipo luz de emergencia en espacios comunes</v>
      </c>
      <c r="C80" s="388" t="str">
        <f t="shared" si="4"/>
        <v>gl</v>
      </c>
      <c r="D80" s="416">
        <v>1</v>
      </c>
      <c r="E80" s="417">
        <f t="shared" si="5"/>
        <v>0</v>
      </c>
      <c r="F80" s="417">
        <f t="shared" si="6"/>
        <v>0</v>
      </c>
      <c r="G80" s="428"/>
      <c r="H80" s="445"/>
      <c r="I80" s="428"/>
    </row>
    <row r="81" spans="1:9" ht="20.100000000000001" customHeight="1" x14ac:dyDescent="0.25">
      <c r="A81" s="415" t="s">
        <v>1403</v>
      </c>
      <c r="B81" s="387" t="str">
        <f t="shared" ref="B81:B115" si="15">IFERROR(VLOOKUP(A81,Tabla_Datos,2,FALSE),0)</f>
        <v>Servicios generales / pat</v>
      </c>
      <c r="C81" s="388" t="str">
        <f t="shared" ref="C81:C115" si="16">IFERROR(VLOOKUP(A81,Tabla_Datos,3,FALSE),0)</f>
        <v>gl</v>
      </c>
      <c r="D81" s="416">
        <v>1</v>
      </c>
      <c r="E81" s="417">
        <f t="shared" ref="E81:E115" si="17">IFERROR(VLOOKUP(A81,Tabla_Comp_Presup,7,FALSE),0)</f>
        <v>0</v>
      </c>
      <c r="F81" s="417">
        <f t="shared" ref="F81:F115" si="18">ROUND(D81*E81,15)</f>
        <v>0</v>
      </c>
      <c r="G81" s="428"/>
      <c r="H81" s="445"/>
      <c r="I81" s="428"/>
    </row>
    <row r="82" spans="1:9" ht="20.100000000000001" customHeight="1" x14ac:dyDescent="0.25">
      <c r="A82" s="415" t="s">
        <v>1404</v>
      </c>
      <c r="B82" s="387" t="str">
        <f t="shared" si="15"/>
        <v>Instalación aire acondicionado</v>
      </c>
      <c r="C82" s="388" t="str">
        <f t="shared" si="16"/>
        <v>gl</v>
      </c>
      <c r="D82" s="416">
        <v>1</v>
      </c>
      <c r="E82" s="417">
        <f t="shared" si="17"/>
        <v>0</v>
      </c>
      <c r="F82" s="417">
        <f t="shared" si="18"/>
        <v>0</v>
      </c>
      <c r="G82" s="428"/>
      <c r="H82" s="445"/>
      <c r="I82" s="428"/>
    </row>
    <row r="83" spans="1:9" ht="20.100000000000001" customHeight="1" x14ac:dyDescent="0.25">
      <c r="A83" s="415" t="s">
        <v>1405</v>
      </c>
      <c r="B83" s="387" t="str">
        <f t="shared" si="15"/>
        <v xml:space="preserve">Artefactos en locales comunes </v>
      </c>
      <c r="C83" s="388" t="str">
        <f t="shared" si="16"/>
        <v>gl</v>
      </c>
      <c r="D83" s="416">
        <v>1</v>
      </c>
      <c r="E83" s="417">
        <f t="shared" si="17"/>
        <v>0</v>
      </c>
      <c r="F83" s="417">
        <f t="shared" si="18"/>
        <v>0</v>
      </c>
      <c r="G83" s="428"/>
      <c r="H83" s="445"/>
      <c r="I83" s="428"/>
    </row>
    <row r="84" spans="1:9" ht="20.100000000000001" customHeight="1" x14ac:dyDescent="0.25">
      <c r="A84" s="415" t="s">
        <v>1406</v>
      </c>
      <c r="B84" s="387" t="str">
        <f t="shared" si="15"/>
        <v>Canalizacion y cableado de comando calefon solar</v>
      </c>
      <c r="C84" s="388" t="str">
        <f t="shared" si="16"/>
        <v>gl</v>
      </c>
      <c r="D84" s="416">
        <v>1</v>
      </c>
      <c r="E84" s="417">
        <f t="shared" si="17"/>
        <v>0</v>
      </c>
      <c r="F84" s="417">
        <f t="shared" si="18"/>
        <v>0</v>
      </c>
      <c r="G84" s="428"/>
      <c r="H84" s="445"/>
      <c r="I84" s="428"/>
    </row>
    <row r="85" spans="1:9" ht="20.100000000000001" customHeight="1" x14ac:dyDescent="0.25">
      <c r="A85" s="415">
        <v>16</v>
      </c>
      <c r="B85" s="387" t="str">
        <f t="shared" si="15"/>
        <v>INSTALACIÓN SANITARIA</v>
      </c>
      <c r="C85" s="388">
        <f t="shared" si="16"/>
        <v>0</v>
      </c>
      <c r="D85" s="416"/>
      <c r="E85" s="417">
        <f t="shared" si="17"/>
        <v>0</v>
      </c>
      <c r="F85" s="417">
        <f t="shared" si="18"/>
        <v>0</v>
      </c>
      <c r="G85" s="428"/>
      <c r="H85" s="445"/>
      <c r="I85" s="428"/>
    </row>
    <row r="86" spans="1:9" ht="20.100000000000001" customHeight="1" x14ac:dyDescent="0.25">
      <c r="A86" s="415" t="s">
        <v>1407</v>
      </c>
      <c r="B86" s="387" t="str">
        <f t="shared" si="15"/>
        <v>Instalación agua fría y caliente</v>
      </c>
      <c r="C86" s="388" t="str">
        <f t="shared" si="16"/>
        <v>gl</v>
      </c>
      <c r="D86" s="416">
        <v>1</v>
      </c>
      <c r="E86" s="417">
        <f t="shared" si="17"/>
        <v>0</v>
      </c>
      <c r="F86" s="417">
        <f t="shared" si="18"/>
        <v>0</v>
      </c>
      <c r="G86" s="428"/>
      <c r="H86" s="445"/>
      <c r="I86" s="428"/>
    </row>
    <row r="87" spans="1:9" ht="20.100000000000001" customHeight="1" x14ac:dyDescent="0.25">
      <c r="A87" s="415" t="s">
        <v>1408</v>
      </c>
      <c r="B87" s="387" t="str">
        <f t="shared" si="15"/>
        <v>Desagües Cloacales</v>
      </c>
      <c r="C87" s="388" t="str">
        <f t="shared" si="16"/>
        <v>gl</v>
      </c>
      <c r="D87" s="416">
        <v>1</v>
      </c>
      <c r="E87" s="417">
        <f t="shared" si="17"/>
        <v>0</v>
      </c>
      <c r="F87" s="417">
        <f t="shared" si="18"/>
        <v>0</v>
      </c>
      <c r="G87" s="428"/>
      <c r="H87" s="445"/>
      <c r="I87" s="428"/>
    </row>
    <row r="88" spans="1:9" ht="20.100000000000001" customHeight="1" x14ac:dyDescent="0.25">
      <c r="A88" s="415" t="s">
        <v>1409</v>
      </c>
      <c r="B88" s="387" t="str">
        <f t="shared" si="15"/>
        <v>Desagües Pluviales</v>
      </c>
      <c r="C88" s="388" t="str">
        <f t="shared" si="16"/>
        <v>gl</v>
      </c>
      <c r="D88" s="416">
        <v>1</v>
      </c>
      <c r="E88" s="417">
        <f t="shared" si="17"/>
        <v>0</v>
      </c>
      <c r="F88" s="417">
        <f t="shared" si="18"/>
        <v>0</v>
      </c>
      <c r="G88" s="428"/>
      <c r="H88" s="445"/>
      <c r="I88" s="428"/>
    </row>
    <row r="89" spans="1:9" ht="20.100000000000001" customHeight="1" x14ac:dyDescent="0.25">
      <c r="A89" s="415" t="s">
        <v>1410</v>
      </c>
      <c r="B89" s="387" t="str">
        <f t="shared" si="15"/>
        <v>Desagüe aire acondicionado</v>
      </c>
      <c r="C89" s="388" t="str">
        <f t="shared" si="16"/>
        <v>gl</v>
      </c>
      <c r="D89" s="416">
        <v>1</v>
      </c>
      <c r="E89" s="417">
        <f t="shared" si="17"/>
        <v>0</v>
      </c>
      <c r="F89" s="417">
        <f t="shared" si="18"/>
        <v>0</v>
      </c>
      <c r="G89" s="428"/>
      <c r="H89" s="445"/>
      <c r="I89" s="428"/>
    </row>
    <row r="90" spans="1:9" ht="20.100000000000001" customHeight="1" x14ac:dyDescent="0.25">
      <c r="A90" s="415" t="s">
        <v>1411</v>
      </c>
      <c r="B90" s="387" t="str">
        <f t="shared" si="15"/>
        <v xml:space="preserve">Artefactos sanitarios  </v>
      </c>
      <c r="C90" s="388" t="str">
        <f t="shared" si="16"/>
        <v>gl</v>
      </c>
      <c r="D90" s="416">
        <v>1</v>
      </c>
      <c r="E90" s="417">
        <f t="shared" si="17"/>
        <v>0</v>
      </c>
      <c r="F90" s="417">
        <f t="shared" si="18"/>
        <v>0</v>
      </c>
      <c r="G90" s="428"/>
      <c r="H90" s="445"/>
      <c r="I90" s="428"/>
    </row>
    <row r="91" spans="1:9" ht="20.100000000000001" customHeight="1" x14ac:dyDescent="0.25">
      <c r="A91" s="415" t="s">
        <v>1412</v>
      </c>
      <c r="B91" s="387" t="str">
        <f t="shared" si="15"/>
        <v>Griferia de sanitario y cocina</v>
      </c>
      <c r="C91" s="388" t="str">
        <f t="shared" si="16"/>
        <v>gl</v>
      </c>
      <c r="D91" s="416">
        <v>1</v>
      </c>
      <c r="E91" s="417">
        <f t="shared" si="17"/>
        <v>0</v>
      </c>
      <c r="F91" s="417">
        <f t="shared" si="18"/>
        <v>0</v>
      </c>
      <c r="G91" s="428"/>
      <c r="H91" s="445"/>
      <c r="I91" s="428"/>
    </row>
    <row r="92" spans="1:9" ht="20.100000000000001" customHeight="1" x14ac:dyDescent="0.25">
      <c r="A92" s="415" t="s">
        <v>1413</v>
      </c>
      <c r="B92" s="387" t="str">
        <f t="shared" si="15"/>
        <v>Accesorios de sanitarios</v>
      </c>
      <c r="C92" s="388" t="str">
        <f t="shared" si="16"/>
        <v>gl</v>
      </c>
      <c r="D92" s="416">
        <v>1</v>
      </c>
      <c r="E92" s="417">
        <f t="shared" si="17"/>
        <v>0</v>
      </c>
      <c r="F92" s="417">
        <f t="shared" si="18"/>
        <v>0</v>
      </c>
      <c r="G92" s="428"/>
      <c r="H92" s="445"/>
      <c r="I92" s="428"/>
    </row>
    <row r="93" spans="1:9" ht="20.100000000000001" customHeight="1" x14ac:dyDescent="0.25">
      <c r="A93" s="415" t="s">
        <v>1414</v>
      </c>
      <c r="B93" s="387" t="str">
        <f t="shared" si="15"/>
        <v>Tanque de bombeo (5000 litros)</v>
      </c>
      <c r="C93" s="388" t="str">
        <f t="shared" si="16"/>
        <v>gl</v>
      </c>
      <c r="D93" s="416">
        <v>4.0816999999999999E-2</v>
      </c>
      <c r="E93" s="417">
        <f t="shared" si="17"/>
        <v>0</v>
      </c>
      <c r="F93" s="417">
        <f t="shared" si="18"/>
        <v>0</v>
      </c>
      <c r="G93" s="428"/>
      <c r="H93" s="445"/>
      <c r="I93" s="428"/>
    </row>
    <row r="94" spans="1:9" ht="20.100000000000001" customHeight="1" x14ac:dyDescent="0.25">
      <c r="A94" s="415" t="s">
        <v>1415</v>
      </c>
      <c r="B94" s="387" t="str">
        <f t="shared" si="15"/>
        <v xml:space="preserve">Tanque de reserva (5000 litros) </v>
      </c>
      <c r="C94" s="388" t="str">
        <f t="shared" si="16"/>
        <v>gl</v>
      </c>
      <c r="D94" s="416">
        <v>0.10204000000000001</v>
      </c>
      <c r="E94" s="417">
        <f t="shared" si="17"/>
        <v>0</v>
      </c>
      <c r="F94" s="417">
        <f t="shared" si="18"/>
        <v>0</v>
      </c>
      <c r="G94" s="428"/>
      <c r="H94" s="445"/>
      <c r="I94" s="428"/>
    </row>
    <row r="95" spans="1:9" ht="20.100000000000001" customHeight="1" x14ac:dyDescent="0.25">
      <c r="A95" s="415">
        <v>17</v>
      </c>
      <c r="B95" s="387" t="str">
        <f t="shared" si="15"/>
        <v>INSTALACIÓN CONTRA INCENDIO TOTAL</v>
      </c>
      <c r="C95" s="388">
        <f t="shared" si="16"/>
        <v>0</v>
      </c>
      <c r="D95" s="416"/>
      <c r="E95" s="417">
        <f t="shared" si="17"/>
        <v>0</v>
      </c>
      <c r="F95" s="417">
        <f t="shared" si="18"/>
        <v>0</v>
      </c>
      <c r="G95" s="428"/>
      <c r="H95" s="445"/>
      <c r="I95" s="428"/>
    </row>
    <row r="96" spans="1:9" ht="20.100000000000001" customHeight="1" x14ac:dyDescent="0.25">
      <c r="A96" s="415" t="s">
        <v>1416</v>
      </c>
      <c r="B96" s="387" t="str">
        <f t="shared" si="15"/>
        <v>Tanque de reserva   PRFV 5000 LTS</v>
      </c>
      <c r="C96" s="388" t="str">
        <f t="shared" si="16"/>
        <v>u</v>
      </c>
      <c r="D96" s="416">
        <v>6.7960999999999994E-2</v>
      </c>
      <c r="E96" s="417">
        <f t="shared" si="17"/>
        <v>0</v>
      </c>
      <c r="F96" s="417">
        <f t="shared" si="18"/>
        <v>0</v>
      </c>
      <c r="G96" s="428"/>
      <c r="H96" s="445"/>
      <c r="I96" s="428"/>
    </row>
    <row r="97" spans="1:9" ht="20.100000000000001" customHeight="1" x14ac:dyDescent="0.25">
      <c r="A97" s="415" t="s">
        <v>1417</v>
      </c>
      <c r="B97" s="387" t="str">
        <f t="shared" si="15"/>
        <v xml:space="preserve">Bomba de 15 hp </v>
      </c>
      <c r="C97" s="388" t="str">
        <f t="shared" si="16"/>
        <v>u</v>
      </c>
      <c r="D97" s="416">
        <v>3.8835000000000001E-2</v>
      </c>
      <c r="E97" s="417">
        <f t="shared" si="17"/>
        <v>0</v>
      </c>
      <c r="F97" s="417">
        <f t="shared" si="18"/>
        <v>0</v>
      </c>
      <c r="G97" s="428"/>
      <c r="H97" s="445"/>
      <c r="I97" s="428"/>
    </row>
    <row r="98" spans="1:9" ht="20.100000000000001" customHeight="1" x14ac:dyDescent="0.25">
      <c r="A98" s="415" t="s">
        <v>1418</v>
      </c>
      <c r="B98" s="387" t="str">
        <f t="shared" si="15"/>
        <v>Extintores ABC 5 kg</v>
      </c>
      <c r="C98" s="388" t="str">
        <f t="shared" si="16"/>
        <v>u</v>
      </c>
      <c r="D98" s="416">
        <v>0.58252400000000004</v>
      </c>
      <c r="E98" s="417">
        <f t="shared" si="17"/>
        <v>0</v>
      </c>
      <c r="F98" s="417">
        <f t="shared" si="18"/>
        <v>0</v>
      </c>
      <c r="G98" s="428"/>
      <c r="H98" s="445"/>
      <c r="I98" s="428"/>
    </row>
    <row r="99" spans="1:9" ht="20.100000000000001" customHeight="1" x14ac:dyDescent="0.25">
      <c r="A99" s="415" t="s">
        <v>1419</v>
      </c>
      <c r="B99" s="387" t="str">
        <f t="shared" si="15"/>
        <v>Hidrantes con caja lanza y martillo</v>
      </c>
      <c r="C99" s="388" t="str">
        <f t="shared" si="16"/>
        <v>u</v>
      </c>
      <c r="D99" s="416">
        <v>0.28571400000000002</v>
      </c>
      <c r="E99" s="417">
        <f t="shared" si="17"/>
        <v>0</v>
      </c>
      <c r="F99" s="417">
        <f t="shared" si="18"/>
        <v>0</v>
      </c>
      <c r="G99" s="428"/>
      <c r="H99" s="445"/>
      <c r="I99" s="428"/>
    </row>
    <row r="100" spans="1:9" ht="20.100000000000001" customHeight="1" x14ac:dyDescent="0.25">
      <c r="A100" s="415" t="s">
        <v>1420</v>
      </c>
      <c r="B100" s="387" t="str">
        <f t="shared" si="15"/>
        <v>Manguera para incendio diametro 38,long 25 metros</v>
      </c>
      <c r="C100" s="388" t="str">
        <f t="shared" si="16"/>
        <v>u</v>
      </c>
      <c r="D100" s="416">
        <v>0.28571400000000002</v>
      </c>
      <c r="E100" s="417">
        <f t="shared" si="17"/>
        <v>0</v>
      </c>
      <c r="F100" s="417">
        <f t="shared" si="18"/>
        <v>0</v>
      </c>
      <c r="G100" s="428"/>
      <c r="H100" s="445"/>
      <c r="I100" s="428"/>
    </row>
    <row r="101" spans="1:9" ht="20.100000000000001" customHeight="1" x14ac:dyDescent="0.25">
      <c r="A101" s="415" t="s">
        <v>1421</v>
      </c>
      <c r="B101" s="387" t="str">
        <f t="shared" si="15"/>
        <v xml:space="preserve">Bomba Joker </v>
      </c>
      <c r="C101" s="388" t="str">
        <f t="shared" si="16"/>
        <v>u</v>
      </c>
      <c r="D101" s="416">
        <v>2.0407999999999999E-2</v>
      </c>
      <c r="E101" s="417">
        <f t="shared" si="17"/>
        <v>0</v>
      </c>
      <c r="F101" s="417">
        <f t="shared" si="18"/>
        <v>0</v>
      </c>
      <c r="G101" s="428"/>
      <c r="H101" s="445"/>
      <c r="I101" s="428"/>
    </row>
    <row r="102" spans="1:9" ht="20.100000000000001" customHeight="1" x14ac:dyDescent="0.25">
      <c r="A102" s="415" t="s">
        <v>1422</v>
      </c>
      <c r="B102" s="387" t="str">
        <f t="shared" si="15"/>
        <v>Luces de Emergencia</v>
      </c>
      <c r="C102" s="388" t="str">
        <f t="shared" si="16"/>
        <v>u</v>
      </c>
      <c r="D102" s="416">
        <v>1.3877550000000001</v>
      </c>
      <c r="E102" s="417">
        <f t="shared" si="17"/>
        <v>0</v>
      </c>
      <c r="F102" s="417">
        <f t="shared" si="18"/>
        <v>0</v>
      </c>
      <c r="G102" s="428"/>
      <c r="H102" s="445"/>
      <c r="I102" s="428"/>
    </row>
    <row r="103" spans="1:9" ht="20.100000000000001" customHeight="1" x14ac:dyDescent="0.25">
      <c r="A103" s="415" t="s">
        <v>1423</v>
      </c>
      <c r="B103" s="387" t="str">
        <f t="shared" si="15"/>
        <v>Cañeria HG 75 mm</v>
      </c>
      <c r="C103" s="388" t="str">
        <f t="shared" si="16"/>
        <v>ml</v>
      </c>
      <c r="D103" s="416">
        <v>0</v>
      </c>
      <c r="E103" s="417">
        <f t="shared" si="17"/>
        <v>0</v>
      </c>
      <c r="F103" s="417">
        <f t="shared" si="18"/>
        <v>0</v>
      </c>
      <c r="G103" s="428"/>
      <c r="H103" s="445"/>
      <c r="I103" s="428"/>
    </row>
    <row r="104" spans="1:9" ht="20.100000000000001" customHeight="1" x14ac:dyDescent="0.25">
      <c r="A104" s="415" t="s">
        <v>1424</v>
      </c>
      <c r="B104" s="387" t="str">
        <f t="shared" si="15"/>
        <v>Cañeria HG 63 mm</v>
      </c>
      <c r="C104" s="388" t="str">
        <f t="shared" si="16"/>
        <v>ml</v>
      </c>
      <c r="D104" s="416">
        <v>2.3877549999999998</v>
      </c>
      <c r="E104" s="417">
        <f t="shared" si="17"/>
        <v>0</v>
      </c>
      <c r="F104" s="417">
        <f t="shared" si="18"/>
        <v>0</v>
      </c>
      <c r="G104" s="428"/>
      <c r="H104" s="445"/>
      <c r="I104" s="428"/>
    </row>
    <row r="105" spans="1:9" ht="20.100000000000001" customHeight="1" x14ac:dyDescent="0.25">
      <c r="A105" s="415" t="s">
        <v>1425</v>
      </c>
      <c r="B105" s="387" t="str">
        <f t="shared" si="15"/>
        <v>Cañeria HG 50 mm</v>
      </c>
      <c r="C105" s="388" t="str">
        <f t="shared" si="16"/>
        <v>ml</v>
      </c>
      <c r="D105" s="416">
        <v>0.22449</v>
      </c>
      <c r="E105" s="417">
        <f t="shared" si="17"/>
        <v>0</v>
      </c>
      <c r="F105" s="417">
        <f t="shared" si="18"/>
        <v>0</v>
      </c>
      <c r="G105" s="428"/>
      <c r="H105" s="445"/>
      <c r="I105" s="428"/>
    </row>
    <row r="106" spans="1:9" ht="20.100000000000001" customHeight="1" x14ac:dyDescent="0.25">
      <c r="A106" s="415" t="s">
        <v>1426</v>
      </c>
      <c r="B106" s="387" t="str">
        <f t="shared" si="15"/>
        <v>Valvulas Esclusas de bronce dim 45</v>
      </c>
      <c r="C106" s="388" t="str">
        <f t="shared" si="16"/>
        <v>u</v>
      </c>
      <c r="D106" s="416">
        <v>0.244898</v>
      </c>
      <c r="E106" s="417">
        <f t="shared" si="17"/>
        <v>0</v>
      </c>
      <c r="F106" s="417">
        <f t="shared" si="18"/>
        <v>0</v>
      </c>
      <c r="G106" s="428"/>
      <c r="H106" s="445"/>
      <c r="I106" s="428"/>
    </row>
    <row r="107" spans="1:9" ht="20.100000000000001" customHeight="1" x14ac:dyDescent="0.25">
      <c r="A107" s="415" t="s">
        <v>1427</v>
      </c>
      <c r="B107" s="387" t="str">
        <f t="shared" si="15"/>
        <v>Valvulas Esclusas de bronce dim 38</v>
      </c>
      <c r="C107" s="388" t="str">
        <f t="shared" si="16"/>
        <v>u</v>
      </c>
      <c r="D107" s="416">
        <v>4.0815999999999998E-2</v>
      </c>
      <c r="E107" s="417">
        <f t="shared" si="17"/>
        <v>0</v>
      </c>
      <c r="F107" s="417">
        <f t="shared" si="18"/>
        <v>0</v>
      </c>
      <c r="G107" s="428"/>
      <c r="H107" s="445"/>
      <c r="I107" s="428"/>
    </row>
    <row r="108" spans="1:9" ht="20.100000000000001" customHeight="1" x14ac:dyDescent="0.25">
      <c r="A108" s="415" t="s">
        <v>1428</v>
      </c>
      <c r="B108" s="387" t="str">
        <f t="shared" si="15"/>
        <v>Caja de Impulsion con llave esferica de 2" (60x40)</v>
      </c>
      <c r="C108" s="388" t="str">
        <f t="shared" si="16"/>
        <v>u</v>
      </c>
      <c r="D108" s="416">
        <v>2.0407999999999999E-2</v>
      </c>
      <c r="E108" s="417">
        <f t="shared" si="17"/>
        <v>0</v>
      </c>
      <c r="F108" s="417">
        <f t="shared" si="18"/>
        <v>0</v>
      </c>
      <c r="G108" s="428"/>
      <c r="H108" s="445"/>
      <c r="I108" s="428"/>
    </row>
    <row r="109" spans="1:9" ht="20.100000000000001" customHeight="1" x14ac:dyDescent="0.25">
      <c r="A109" s="415" t="s">
        <v>1429</v>
      </c>
      <c r="B109" s="387" t="str">
        <f t="shared" si="15"/>
        <v>Tambor con arena de 200 lts</v>
      </c>
      <c r="C109" s="388" t="str">
        <f t="shared" si="16"/>
        <v>u</v>
      </c>
      <c r="D109" s="416">
        <v>6.1224000000000001E-2</v>
      </c>
      <c r="E109" s="417">
        <f t="shared" si="17"/>
        <v>0</v>
      </c>
      <c r="F109" s="417">
        <f t="shared" si="18"/>
        <v>0</v>
      </c>
      <c r="G109" s="428"/>
      <c r="H109" s="445"/>
      <c r="I109" s="428"/>
    </row>
    <row r="110" spans="1:9" ht="20.100000000000001" customHeight="1" x14ac:dyDescent="0.25">
      <c r="A110" s="415">
        <v>18</v>
      </c>
      <c r="B110" s="387" t="str">
        <f t="shared" si="15"/>
        <v>INSTALACION ELECTROMECANICA</v>
      </c>
      <c r="C110" s="388">
        <f t="shared" si="16"/>
        <v>0</v>
      </c>
      <c r="D110" s="416"/>
      <c r="E110" s="417">
        <f t="shared" si="17"/>
        <v>0</v>
      </c>
      <c r="F110" s="417">
        <f t="shared" si="18"/>
        <v>0</v>
      </c>
      <c r="G110" s="428"/>
      <c r="H110" s="445"/>
      <c r="I110" s="428"/>
    </row>
    <row r="111" spans="1:9" ht="20.100000000000001" customHeight="1" x14ac:dyDescent="0.25">
      <c r="A111" s="415" t="s">
        <v>1430</v>
      </c>
      <c r="B111" s="387" t="str">
        <f t="shared" si="15"/>
        <v>Instalación electromagnética</v>
      </c>
      <c r="C111" s="388" t="str">
        <f t="shared" si="16"/>
        <v>gl</v>
      </c>
      <c r="D111" s="416">
        <v>4.0815999999999998E-2</v>
      </c>
      <c r="E111" s="417">
        <f t="shared" si="17"/>
        <v>0</v>
      </c>
      <c r="F111" s="417">
        <f t="shared" si="18"/>
        <v>0</v>
      </c>
      <c r="G111" s="428"/>
      <c r="H111" s="445"/>
      <c r="I111" s="428"/>
    </row>
    <row r="112" spans="1:9" ht="20.100000000000001" customHeight="1" x14ac:dyDescent="0.25">
      <c r="A112" s="415" t="s">
        <v>1431</v>
      </c>
      <c r="B112" s="387" t="str">
        <f t="shared" si="15"/>
        <v>Ascensor Electromagnetico Cap.450 kg Ancho 1100 x 1300 cm (Torre 9 niveles)</v>
      </c>
      <c r="C112" s="388" t="str">
        <f t="shared" si="16"/>
        <v>u</v>
      </c>
      <c r="D112" s="416">
        <v>0</v>
      </c>
      <c r="E112" s="417">
        <f t="shared" si="17"/>
        <v>0</v>
      </c>
      <c r="F112" s="417">
        <f t="shared" si="18"/>
        <v>0</v>
      </c>
      <c r="G112" s="428"/>
      <c r="H112" s="445"/>
      <c r="I112" s="428"/>
    </row>
    <row r="113" spans="1:9" ht="20.100000000000001" customHeight="1" x14ac:dyDescent="0.25">
      <c r="A113" s="415" t="s">
        <v>1521</v>
      </c>
      <c r="B113" s="387" t="str">
        <f t="shared" ref="B113" si="19">IFERROR(VLOOKUP(A113,Tabla_Datos,2,FALSE),0)</f>
        <v>Ascensor Electromagnetico Cap.450 kg Ancho 1100 x 1300 cm  (Ala 5 niveles)</v>
      </c>
      <c r="C113" s="388" t="str">
        <f t="shared" ref="C113" si="20">IFERROR(VLOOKUP(A113,Tabla_Datos,3,FALSE),0)</f>
        <v>u</v>
      </c>
      <c r="D113" s="416">
        <v>4.0815999999999998E-2</v>
      </c>
      <c r="E113" s="417">
        <f t="shared" ref="E113" si="21">IFERROR(VLOOKUP(A113,Tabla_Comp_Presup,7,FALSE),0)</f>
        <v>0</v>
      </c>
      <c r="F113" s="417">
        <f t="shared" ref="F113" si="22">ROUND(D113*E113,15)</f>
        <v>0</v>
      </c>
      <c r="G113" s="428"/>
      <c r="H113" s="445"/>
      <c r="I113" s="428"/>
    </row>
    <row r="114" spans="1:9" ht="20.100000000000001" customHeight="1" x14ac:dyDescent="0.25">
      <c r="A114" s="415">
        <v>19</v>
      </c>
      <c r="B114" s="387" t="str">
        <f t="shared" si="15"/>
        <v>CONDUCTOS Y VENTILACIONES</v>
      </c>
      <c r="C114" s="388">
        <f t="shared" si="16"/>
        <v>0</v>
      </c>
      <c r="D114" s="416"/>
      <c r="E114" s="417">
        <f t="shared" si="17"/>
        <v>0</v>
      </c>
      <c r="F114" s="417">
        <f t="shared" si="18"/>
        <v>0</v>
      </c>
      <c r="G114" s="428"/>
      <c r="H114" s="445"/>
      <c r="I114" s="428"/>
    </row>
    <row r="115" spans="1:9" ht="20.100000000000001" customHeight="1" x14ac:dyDescent="0.25">
      <c r="A115" s="415" t="s">
        <v>1432</v>
      </c>
      <c r="B115" s="387" t="str">
        <f t="shared" si="15"/>
        <v>Rejilla ventilación baños</v>
      </c>
      <c r="C115" s="388" t="str">
        <f t="shared" si="16"/>
        <v>u</v>
      </c>
      <c r="D115" s="416">
        <v>1.4285714285714286</v>
      </c>
      <c r="E115" s="417">
        <f t="shared" si="17"/>
        <v>0</v>
      </c>
      <c r="F115" s="417">
        <f t="shared" si="18"/>
        <v>0</v>
      </c>
      <c r="G115" s="428"/>
      <c r="H115" s="445"/>
      <c r="I115" s="428"/>
    </row>
    <row r="116" spans="1:9" ht="20.100000000000001" customHeight="1" x14ac:dyDescent="0.25">
      <c r="A116" s="193"/>
      <c r="B116" s="194"/>
      <c r="C116" s="195"/>
      <c r="D116" s="196"/>
      <c r="E116" s="197"/>
      <c r="F116" s="197"/>
      <c r="H116" s="445"/>
    </row>
    <row r="117" spans="1:9" ht="20.100000000000001" customHeight="1" x14ac:dyDescent="0.25">
      <c r="A117" s="390" t="s">
        <v>1106</v>
      </c>
      <c r="B117" s="391" t="s">
        <v>1162</v>
      </c>
      <c r="C117" s="392"/>
      <c r="D117" s="393"/>
      <c r="E117" s="394"/>
      <c r="F117" s="395">
        <f>ROUND(F126/Coef_Paso_Vivienda,2)</f>
        <v>0</v>
      </c>
      <c r="H117" s="445"/>
    </row>
    <row r="118" spans="1:9" ht="20.100000000000001" customHeight="1" x14ac:dyDescent="0.25">
      <c r="A118" s="396" t="s">
        <v>1107</v>
      </c>
      <c r="B118" s="397" t="str">
        <f>"COSTO FINANCIERO  "&amp;ROUND(Costo_Financiero*100,2)&amp;" % de ( 1 )"</f>
        <v>COSTO FINANCIERO  0 % de ( 1 )</v>
      </c>
      <c r="C118" s="398">
        <f>Costo_Financiero</f>
        <v>0</v>
      </c>
      <c r="D118" s="399"/>
      <c r="E118" s="400">
        <f>Costo_Financiero</f>
        <v>0</v>
      </c>
      <c r="F118" s="401">
        <f>ROUND(F117*Costo_Financiero,2)</f>
        <v>0</v>
      </c>
      <c r="H118" s="445"/>
    </row>
    <row r="119" spans="1:9" ht="20.100000000000001" customHeight="1" x14ac:dyDescent="0.25">
      <c r="A119" s="396" t="s">
        <v>1108</v>
      </c>
      <c r="B119" s="397" t="s">
        <v>1158</v>
      </c>
      <c r="C119" s="398"/>
      <c r="D119" s="399"/>
      <c r="E119" s="402"/>
      <c r="F119" s="401">
        <f>F117+F118</f>
        <v>0</v>
      </c>
    </row>
    <row r="120" spans="1:9" ht="20.100000000000001" customHeight="1" x14ac:dyDescent="0.25">
      <c r="A120" s="396" t="s">
        <v>1109</v>
      </c>
      <c r="B120" s="403" t="str">
        <f>CONCATENATE("GASTOS GENERALES  ",ROUND(Gastos_Generales*100,3)," % de ( 3 )")</f>
        <v>GASTOS GENERALES  10 % de ( 3 )</v>
      </c>
      <c r="C120" s="400">
        <f>Gastos_Generales</f>
        <v>0.1</v>
      </c>
      <c r="D120" s="404"/>
      <c r="E120" s="402"/>
      <c r="F120" s="401">
        <f>ROUND(F119*Gastos_Generales,2)</f>
        <v>0</v>
      </c>
    </row>
    <row r="121" spans="1:9" ht="20.100000000000001" customHeight="1" x14ac:dyDescent="0.25">
      <c r="A121" s="396" t="s">
        <v>1110</v>
      </c>
      <c r="B121" s="403" t="str">
        <f>CONCATENATE("BENEFICIOS  ",ROUND(Beneficio*100,2)," % de ( 3 )")</f>
        <v>BENEFICIOS  10 % de ( 3 )</v>
      </c>
      <c r="C121" s="400">
        <f>Beneficio</f>
        <v>0.1</v>
      </c>
      <c r="D121" s="404"/>
      <c r="E121" s="402"/>
      <c r="F121" s="401">
        <f>ROUND(F119*Beneficio,2)</f>
        <v>0</v>
      </c>
    </row>
    <row r="122" spans="1:9" ht="20.100000000000001" customHeight="1" x14ac:dyDescent="0.25">
      <c r="A122" s="396">
        <v>6</v>
      </c>
      <c r="B122" s="397" t="s">
        <v>1159</v>
      </c>
      <c r="C122" s="402"/>
      <c r="D122" s="404"/>
      <c r="E122" s="402"/>
      <c r="F122" s="401">
        <f>F119+F120+F121</f>
        <v>0</v>
      </c>
    </row>
    <row r="123" spans="1:9" ht="20.100000000000001" customHeight="1" x14ac:dyDescent="0.25">
      <c r="A123" s="396" t="s">
        <v>1160</v>
      </c>
      <c r="B123" s="403" t="str">
        <f>CONCATENATE("INGRESOS BRUTOS Y LOTE HOGAR  ",ROUND(Ingresos_Brutos*100,2)," % de ( 6 )")</f>
        <v>INGRESOS BRUTOS Y LOTE HOGAR  2,4 % de ( 6 )</v>
      </c>
      <c r="C123" s="400">
        <f>Ingresos_Brutos</f>
        <v>2.4E-2</v>
      </c>
      <c r="D123" s="404"/>
      <c r="E123" s="402"/>
      <c r="F123" s="401">
        <f>IF(Ingresos_Brutos=0,,ROUND(Ingresos_Brutos*F122,2))</f>
        <v>0</v>
      </c>
    </row>
    <row r="124" spans="1:9" ht="20.100000000000001" customHeight="1" x14ac:dyDescent="0.25">
      <c r="A124" s="405" t="s">
        <v>1161</v>
      </c>
      <c r="B124" s="406" t="str">
        <f>CONCATENATE("IMPUESTO AL VALOR AGREGADO ",IVA_Vivienda*100," % de ( 6 )")</f>
        <v>IMPUESTO AL VALOR AGREGADO 0,000000000001 % de ( 6 )</v>
      </c>
      <c r="C124" s="407">
        <f>IVA_Vivienda</f>
        <v>1E-14</v>
      </c>
      <c r="D124" s="408"/>
      <c r="E124" s="409"/>
      <c r="F124" s="410">
        <f>IF(IVA_Vivienda=0,,ROUND(IVA_Vivienda*F122,2))</f>
        <v>0</v>
      </c>
    </row>
    <row r="125" spans="1:9" ht="20.100000000000001" customHeight="1" x14ac:dyDescent="0.25">
      <c r="A125" s="88"/>
      <c r="B125" s="83"/>
      <c r="C125" s="83"/>
      <c r="D125" s="84"/>
      <c r="E125" s="85"/>
      <c r="F125" s="2"/>
    </row>
    <row r="126" spans="1:9" ht="20.100000000000001" customHeight="1" x14ac:dyDescent="0.25">
      <c r="A126" s="420"/>
      <c r="B126" s="421" t="str">
        <f>"PRECIO TOTAL VIVENDA"</f>
        <v>PRECIO TOTAL VIVENDA</v>
      </c>
      <c r="C126" s="421"/>
      <c r="D126" s="422"/>
      <c r="E126" s="420"/>
      <c r="F126" s="423">
        <f>SUM(F11:F115)</f>
        <v>0</v>
      </c>
      <c r="I126" s="133"/>
    </row>
    <row r="128" spans="1:9" ht="20.100000000000001" customHeight="1" x14ac:dyDescent="0.3">
      <c r="F128" s="492"/>
    </row>
    <row r="130" spans="6:6" ht="20.100000000000001" customHeight="1" x14ac:dyDescent="0.25">
      <c r="F130" s="490"/>
    </row>
  </sheetData>
  <sheetProtection formatCells="0" selectLockedCells="1"/>
  <mergeCells count="7">
    <mergeCell ref="A1:F1"/>
    <mergeCell ref="A7:A8"/>
    <mergeCell ref="B7:B8"/>
    <mergeCell ref="C7:C8"/>
    <mergeCell ref="D7:D8"/>
    <mergeCell ref="E7:E8"/>
    <mergeCell ref="F7:F8"/>
  </mergeCells>
  <phoneticPr fontId="10" type="noConversion"/>
  <conditionalFormatting sqref="A11:A30 B10:B30 A31:B115">
    <cfRule type="expression" dxfId="163" priority="32">
      <formula>$C10=0</formula>
    </cfRule>
  </conditionalFormatting>
  <conditionalFormatting sqref="A10">
    <cfRule type="expression" dxfId="162" priority="31" stopIfTrue="1">
      <formula>$C10=0</formula>
    </cfRule>
  </conditionalFormatting>
  <conditionalFormatting sqref="F117">
    <cfRule type="expression" dxfId="161" priority="5" stopIfTrue="1">
      <formula>#REF!=1</formula>
    </cfRule>
  </conditionalFormatting>
  <conditionalFormatting sqref="B116">
    <cfRule type="expression" dxfId="160" priority="27" stopIfTrue="1">
      <formula>$C116=0</formula>
    </cfRule>
  </conditionalFormatting>
  <conditionalFormatting sqref="A116">
    <cfRule type="expression" dxfId="159" priority="26" stopIfTrue="1">
      <formula>$C116=0</formula>
    </cfRule>
  </conditionalFormatting>
  <pageMargins left="0.59055118110236227" right="0.39370078740157483" top="0.78740157480314965" bottom="0.39370078740157483" header="0.19685039370078741" footer="0.39370078740157483"/>
  <pageSetup paperSize="9" scale="58"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30"/>
  <sheetViews>
    <sheetView workbookViewId="0">
      <selection activeCell="G4" sqref="G4"/>
    </sheetView>
  </sheetViews>
  <sheetFormatPr baseColWidth="10" defaultColWidth="11.44140625" defaultRowHeight="20.100000000000001" customHeight="1" x14ac:dyDescent="0.25"/>
  <cols>
    <col min="1" max="1" width="12.6640625" style="75" customWidth="1"/>
    <col min="2" max="2" width="79.88671875" style="75" customWidth="1"/>
    <col min="3" max="3" width="10.6640625" style="75" customWidth="1"/>
    <col min="4" max="4" width="14.6640625" style="75" customWidth="1"/>
    <col min="5" max="6" width="16.6640625" style="75" customWidth="1"/>
    <col min="7" max="7" width="11.44140625" style="75"/>
    <col min="8" max="8" width="12.33203125" style="75" bestFit="1" customWidth="1"/>
    <col min="9" max="12" width="11.44140625" style="75"/>
    <col min="13" max="13" width="55" style="75" customWidth="1"/>
    <col min="14" max="16384" width="11.44140625" style="75"/>
  </cols>
  <sheetData>
    <row r="1" spans="1:9" ht="20.100000000000001" customHeight="1" x14ac:dyDescent="0.25">
      <c r="A1" s="587" t="s">
        <v>1257</v>
      </c>
      <c r="B1" s="587"/>
      <c r="C1" s="587"/>
      <c r="D1" s="587"/>
      <c r="E1" s="587"/>
      <c r="F1" s="587"/>
    </row>
    <row r="2" spans="1:9" s="94" customFormat="1" ht="20.100000000000001" customHeight="1" x14ac:dyDescent="0.25">
      <c r="A2" s="94" t="s">
        <v>1230</v>
      </c>
      <c r="B2" s="93" t="str">
        <f>Obra</f>
        <v>LA NAVE - 103 DEPARTAMENTOS - CAPITAL</v>
      </c>
      <c r="C2" s="150"/>
      <c r="D2" s="95"/>
      <c r="E2" s="95"/>
      <c r="F2" s="95"/>
    </row>
    <row r="3" spans="1:9" s="94" customFormat="1" ht="20.100000000000001" customHeight="1" x14ac:dyDescent="0.25">
      <c r="A3" s="94" t="str">
        <f>"UBICACION:      "&amp;Ubicación</f>
        <v>UBICACION:      CAPITAL</v>
      </c>
      <c r="B3" s="93" t="str">
        <f>Ubicación</f>
        <v>CAPITAL</v>
      </c>
      <c r="C3" s="95"/>
      <c r="D3" s="95"/>
      <c r="E3" s="95"/>
      <c r="F3" s="95"/>
    </row>
    <row r="4" spans="1:9" s="94" customFormat="1" ht="20.100000000000001" customHeight="1" x14ac:dyDescent="0.25">
      <c r="A4" s="94" t="s">
        <v>1127</v>
      </c>
      <c r="B4" s="98" t="s">
        <v>1267</v>
      </c>
      <c r="D4" s="95"/>
      <c r="E4" s="95"/>
      <c r="F4" s="95"/>
    </row>
    <row r="5" spans="1:9" s="94" customFormat="1" ht="20.100000000000001" customHeight="1" x14ac:dyDescent="0.25">
      <c r="A5" s="94" t="s">
        <v>1156</v>
      </c>
      <c r="B5" s="578">
        <v>5</v>
      </c>
      <c r="D5" s="95"/>
      <c r="E5" s="95"/>
      <c r="F5" s="95"/>
    </row>
    <row r="6" spans="1:9" ht="20.100000000000001" customHeight="1" x14ac:dyDescent="0.25">
      <c r="A6" s="132"/>
      <c r="B6" s="135"/>
      <c r="C6" s="132"/>
      <c r="D6" s="132"/>
    </row>
    <row r="7" spans="1:9" ht="20.100000000000001" customHeight="1" x14ac:dyDescent="0.25">
      <c r="A7" s="588" t="s">
        <v>1105</v>
      </c>
      <c r="B7" s="590" t="s">
        <v>0</v>
      </c>
      <c r="C7" s="588" t="s">
        <v>1</v>
      </c>
      <c r="D7" s="588" t="s">
        <v>2</v>
      </c>
      <c r="E7" s="588" t="s">
        <v>1148</v>
      </c>
      <c r="F7" s="588" t="s">
        <v>1157</v>
      </c>
    </row>
    <row r="8" spans="1:9" ht="20.100000000000001" customHeight="1" x14ac:dyDescent="0.25">
      <c r="A8" s="589"/>
      <c r="B8" s="591"/>
      <c r="C8" s="589"/>
      <c r="D8" s="589"/>
      <c r="E8" s="589"/>
      <c r="F8" s="589"/>
    </row>
    <row r="9" spans="1:9" ht="20.100000000000001" customHeight="1" x14ac:dyDescent="0.25">
      <c r="A9" s="198"/>
      <c r="B9" s="136"/>
      <c r="C9" s="140"/>
      <c r="D9" s="140"/>
      <c r="E9" s="140"/>
      <c r="F9" s="199"/>
    </row>
    <row r="10" spans="1:9" ht="20.100000000000001" customHeight="1" x14ac:dyDescent="0.25">
      <c r="A10" s="223" t="s">
        <v>1124</v>
      </c>
      <c r="B10" s="224" t="str">
        <f t="shared" ref="B10:B53" si="0">IFERROR(VLOOKUP(A10,Tabla_Datos,2,FALSE),0)</f>
        <v>DEPARTAMENTOS</v>
      </c>
      <c r="C10" s="225">
        <f t="shared" ref="C10:C53" si="1">IFERROR(VLOOKUP(A10,Tabla_Datos,3,FALSE),0)</f>
        <v>0</v>
      </c>
      <c r="D10" s="226"/>
      <c r="E10" s="255">
        <f>IFERROR(VLOOKUP(A10,Tabla_Comp_Presup,7,FALSE),0)</f>
        <v>0</v>
      </c>
      <c r="F10" s="255">
        <f>ROUND(D10*E10,2)</f>
        <v>0</v>
      </c>
    </row>
    <row r="11" spans="1:9" ht="20.100000000000001" customHeight="1" x14ac:dyDescent="0.25">
      <c r="A11" s="484">
        <v>1</v>
      </c>
      <c r="B11" s="454" t="str">
        <f t="shared" si="0"/>
        <v xml:space="preserve">TRABAJOS PRELIMINARES </v>
      </c>
      <c r="C11" s="455">
        <f t="shared" si="1"/>
        <v>0</v>
      </c>
      <c r="D11" s="486"/>
      <c r="E11" s="458">
        <f t="shared" ref="E11:E53" si="2">IFERROR(VLOOKUP(A11,Tabla_Comp_Presup,7,FALSE),0)</f>
        <v>0</v>
      </c>
      <c r="F11" s="458">
        <f>ROUND(D11*E11,15)</f>
        <v>0</v>
      </c>
      <c r="I11" s="145"/>
    </row>
    <row r="12" spans="1:9" ht="20.100000000000001" customHeight="1" x14ac:dyDescent="0.25">
      <c r="A12" s="484" t="s">
        <v>1281</v>
      </c>
      <c r="B12" s="456" t="str">
        <f t="shared" si="0"/>
        <v>Limpieza general, incluye desmalezamiento, demolición de construcciones existentes</v>
      </c>
      <c r="C12" s="457" t="str">
        <f t="shared" si="1"/>
        <v>m2</v>
      </c>
      <c r="D12" s="486">
        <v>93.88</v>
      </c>
      <c r="E12" s="458">
        <f t="shared" si="2"/>
        <v>0</v>
      </c>
      <c r="F12" s="458">
        <f t="shared" ref="F12:F53" si="3">ROUND(D12*E12,15)</f>
        <v>0</v>
      </c>
      <c r="I12" s="145"/>
    </row>
    <row r="13" spans="1:9" ht="20.100000000000001" customHeight="1" x14ac:dyDescent="0.25">
      <c r="A13" s="484">
        <v>2</v>
      </c>
      <c r="B13" s="456" t="str">
        <f t="shared" si="0"/>
        <v>MOVIMIENTO DE SUELOS</v>
      </c>
      <c r="C13" s="457">
        <f t="shared" si="1"/>
        <v>0</v>
      </c>
      <c r="D13" s="486"/>
      <c r="E13" s="458">
        <f t="shared" si="2"/>
        <v>0</v>
      </c>
      <c r="F13" s="458">
        <f t="shared" si="3"/>
        <v>0</v>
      </c>
      <c r="I13" s="145"/>
    </row>
    <row r="14" spans="1:9" ht="20.100000000000001" customHeight="1" x14ac:dyDescent="0.25">
      <c r="A14" s="484" t="s">
        <v>1282</v>
      </c>
      <c r="B14" s="456" t="str">
        <f t="shared" si="0"/>
        <v>Excavación para fundaciones</v>
      </c>
      <c r="C14" s="457" t="str">
        <f t="shared" si="1"/>
        <v>m3</v>
      </c>
      <c r="D14" s="486">
        <v>12.53</v>
      </c>
      <c r="E14" s="458">
        <f t="shared" si="2"/>
        <v>0</v>
      </c>
      <c r="F14" s="458">
        <f t="shared" si="3"/>
        <v>0</v>
      </c>
      <c r="I14" s="145"/>
    </row>
    <row r="15" spans="1:9" ht="20.100000000000001" customHeight="1" x14ac:dyDescent="0.25">
      <c r="A15" s="484" t="s">
        <v>1336</v>
      </c>
      <c r="B15" s="456" t="str">
        <f t="shared" si="0"/>
        <v>Excavacion de Subsuelo</v>
      </c>
      <c r="C15" s="457" t="str">
        <f t="shared" si="1"/>
        <v>m3</v>
      </c>
      <c r="D15" s="486">
        <v>110.78</v>
      </c>
      <c r="E15" s="458">
        <f t="shared" si="2"/>
        <v>0</v>
      </c>
      <c r="F15" s="458">
        <f t="shared" si="3"/>
        <v>0</v>
      </c>
      <c r="I15" s="145"/>
    </row>
    <row r="16" spans="1:9" ht="20.100000000000001" customHeight="1" x14ac:dyDescent="0.25">
      <c r="A16" s="484">
        <v>3</v>
      </c>
      <c r="B16" s="456" t="str">
        <f t="shared" si="0"/>
        <v>FUNDACIONES</v>
      </c>
      <c r="C16" s="457">
        <f t="shared" si="1"/>
        <v>0</v>
      </c>
      <c r="D16" s="486"/>
      <c r="E16" s="458">
        <f t="shared" si="2"/>
        <v>0</v>
      </c>
      <c r="F16" s="458">
        <f t="shared" si="3"/>
        <v>0</v>
      </c>
      <c r="I16" s="145"/>
    </row>
    <row r="17" spans="1:9" ht="20.100000000000001" customHeight="1" x14ac:dyDescent="0.25">
      <c r="A17" s="484" t="s">
        <v>1298</v>
      </c>
      <c r="B17" s="456" t="str">
        <f t="shared" si="0"/>
        <v>Hº - Bases aisladas y vigas de arriostramiento</v>
      </c>
      <c r="C17" s="457" t="str">
        <f t="shared" si="1"/>
        <v>m3</v>
      </c>
      <c r="D17" s="486">
        <v>11.99</v>
      </c>
      <c r="E17" s="458">
        <f t="shared" si="2"/>
        <v>0</v>
      </c>
      <c r="F17" s="458">
        <f t="shared" si="3"/>
        <v>0</v>
      </c>
      <c r="I17" s="145"/>
    </row>
    <row r="18" spans="1:9" ht="20.100000000000001" customHeight="1" x14ac:dyDescent="0.25">
      <c r="A18" s="484" t="s">
        <v>1299</v>
      </c>
      <c r="B18" s="456" t="str">
        <f t="shared" si="0"/>
        <v>Aº - Bases aisladas y vigas de arriostramiento</v>
      </c>
      <c r="C18" s="457" t="str">
        <f t="shared" si="1"/>
        <v>kg</v>
      </c>
      <c r="D18" s="486">
        <v>908.57</v>
      </c>
      <c r="E18" s="458">
        <f t="shared" si="2"/>
        <v>0</v>
      </c>
      <c r="F18" s="458">
        <f t="shared" si="3"/>
        <v>0</v>
      </c>
      <c r="I18" s="145"/>
    </row>
    <row r="19" spans="1:9" ht="20.100000000000001" customHeight="1" x14ac:dyDescent="0.25">
      <c r="A19" s="484">
        <v>4</v>
      </c>
      <c r="B19" s="456" t="str">
        <f t="shared" si="0"/>
        <v>ESTRUCTURA RESISTENTE</v>
      </c>
      <c r="C19" s="457">
        <f t="shared" si="1"/>
        <v>0</v>
      </c>
      <c r="D19" s="486"/>
      <c r="E19" s="458">
        <f t="shared" si="2"/>
        <v>0</v>
      </c>
      <c r="F19" s="458">
        <f t="shared" si="3"/>
        <v>0</v>
      </c>
      <c r="I19" s="145"/>
    </row>
    <row r="20" spans="1:9" ht="20.100000000000001" customHeight="1" x14ac:dyDescent="0.25">
      <c r="A20" s="484" t="s">
        <v>1300</v>
      </c>
      <c r="B20" s="456" t="str">
        <f t="shared" si="0"/>
        <v>Replanteo y niveles</v>
      </c>
      <c r="C20" s="457" t="str">
        <f t="shared" si="1"/>
        <v>gl</v>
      </c>
      <c r="D20" s="486">
        <v>4.08163E-2</v>
      </c>
      <c r="E20" s="458">
        <f t="shared" si="2"/>
        <v>0</v>
      </c>
      <c r="F20" s="458">
        <f t="shared" si="3"/>
        <v>0</v>
      </c>
      <c r="I20" s="145"/>
    </row>
    <row r="21" spans="1:9" ht="20.100000000000001" customHeight="1" x14ac:dyDescent="0.25">
      <c r="A21" s="484" t="s">
        <v>1301</v>
      </c>
      <c r="B21" s="456" t="str">
        <f t="shared" si="0"/>
        <v>Hormigon para Losas H-21</v>
      </c>
      <c r="C21" s="457" t="str">
        <f t="shared" si="1"/>
        <v>m3</v>
      </c>
      <c r="D21" s="486">
        <v>21.58</v>
      </c>
      <c r="E21" s="458">
        <f t="shared" si="2"/>
        <v>0</v>
      </c>
      <c r="F21" s="458">
        <f t="shared" si="3"/>
        <v>0</v>
      </c>
      <c r="I21" s="145"/>
    </row>
    <row r="22" spans="1:9" ht="20.100000000000001" customHeight="1" x14ac:dyDescent="0.25">
      <c r="A22" s="484" t="s">
        <v>1302</v>
      </c>
      <c r="B22" s="456" t="str">
        <f t="shared" si="0"/>
        <v>Hormigon resistente H-30</v>
      </c>
      <c r="C22" s="457" t="str">
        <f t="shared" si="1"/>
        <v>m3</v>
      </c>
      <c r="D22" s="486">
        <v>48.3</v>
      </c>
      <c r="E22" s="458">
        <f t="shared" si="2"/>
        <v>0</v>
      </c>
      <c r="F22" s="458">
        <f t="shared" si="3"/>
        <v>0</v>
      </c>
      <c r="I22" s="145"/>
    </row>
    <row r="23" spans="1:9" ht="20.100000000000001" customHeight="1" x14ac:dyDescent="0.25">
      <c r="A23" s="484" t="s">
        <v>1303</v>
      </c>
      <c r="B23" s="456" t="str">
        <f t="shared" si="0"/>
        <v>Hormigon para encadenados H-17</v>
      </c>
      <c r="C23" s="457" t="str">
        <f t="shared" si="1"/>
        <v>m3</v>
      </c>
      <c r="D23" s="486">
        <v>1.02</v>
      </c>
      <c r="E23" s="458">
        <f t="shared" si="2"/>
        <v>0</v>
      </c>
      <c r="F23" s="458">
        <f t="shared" si="3"/>
        <v>0</v>
      </c>
      <c r="I23" s="145"/>
    </row>
    <row r="24" spans="1:9" ht="20.100000000000001" customHeight="1" x14ac:dyDescent="0.25">
      <c r="A24" s="484" t="s">
        <v>1510</v>
      </c>
      <c r="B24" s="456" t="str">
        <f t="shared" ref="B24:B30" si="4">IFERROR(VLOOKUP(A24,Tabla_Datos,2,FALSE),0)</f>
        <v>Hormigon para escaleras exteriores</v>
      </c>
      <c r="C24" s="457" t="str">
        <f t="shared" ref="C24:C30" si="5">IFERROR(VLOOKUP(A24,Tabla_Datos,3,FALSE),0)</f>
        <v>m3</v>
      </c>
      <c r="D24" s="486">
        <v>0.25</v>
      </c>
      <c r="E24" s="458">
        <f t="shared" ref="E24:E30" si="6">IFERROR(VLOOKUP(A24,Tabla_Comp_Presup,7,FALSE),0)</f>
        <v>0</v>
      </c>
      <c r="F24" s="458">
        <f t="shared" ref="F24:F30" si="7">ROUND(D24*E24,15)</f>
        <v>0</v>
      </c>
      <c r="I24" s="145"/>
    </row>
    <row r="25" spans="1:9" ht="20.100000000000001" customHeight="1" x14ac:dyDescent="0.25">
      <c r="A25" s="484" t="s">
        <v>1511</v>
      </c>
      <c r="B25" s="456" t="str">
        <f t="shared" si="4"/>
        <v>Acero para losas</v>
      </c>
      <c r="C25" s="457" t="str">
        <f t="shared" si="5"/>
        <v>kg</v>
      </c>
      <c r="D25" s="486">
        <v>887.67</v>
      </c>
      <c r="E25" s="458">
        <f t="shared" si="6"/>
        <v>0</v>
      </c>
      <c r="F25" s="458">
        <f t="shared" si="7"/>
        <v>0</v>
      </c>
      <c r="I25" s="145"/>
    </row>
    <row r="26" spans="1:9" ht="20.100000000000001" customHeight="1" x14ac:dyDescent="0.25">
      <c r="A26" s="484" t="s">
        <v>1512</v>
      </c>
      <c r="B26" s="456" t="str">
        <f t="shared" si="4"/>
        <v>Acero para vigas</v>
      </c>
      <c r="C26" s="457" t="str">
        <f t="shared" si="5"/>
        <v>kg</v>
      </c>
      <c r="D26" s="486">
        <v>5366.96</v>
      </c>
      <c r="E26" s="458">
        <f t="shared" si="6"/>
        <v>0</v>
      </c>
      <c r="F26" s="458">
        <f t="shared" si="7"/>
        <v>0</v>
      </c>
      <c r="I26" s="145"/>
    </row>
    <row r="27" spans="1:9" ht="20.100000000000001" customHeight="1" x14ac:dyDescent="0.25">
      <c r="A27" s="484" t="s">
        <v>1513</v>
      </c>
      <c r="B27" s="456" t="str">
        <f t="shared" si="4"/>
        <v>Acero para columnas</v>
      </c>
      <c r="C27" s="457" t="str">
        <f t="shared" si="5"/>
        <v>kg</v>
      </c>
      <c r="D27" s="486">
        <v>2025.04</v>
      </c>
      <c r="E27" s="458">
        <f t="shared" si="6"/>
        <v>0</v>
      </c>
      <c r="F27" s="458">
        <f t="shared" si="7"/>
        <v>0</v>
      </c>
      <c r="I27" s="145"/>
    </row>
    <row r="28" spans="1:9" ht="20.100000000000001" customHeight="1" x14ac:dyDescent="0.25">
      <c r="A28" s="484" t="s">
        <v>1514</v>
      </c>
      <c r="B28" s="456" t="str">
        <f t="shared" si="4"/>
        <v>Acero para escaleras exteriores</v>
      </c>
      <c r="C28" s="457" t="str">
        <f t="shared" si="5"/>
        <v>kg</v>
      </c>
      <c r="D28" s="486">
        <v>50.02</v>
      </c>
      <c r="E28" s="458">
        <f t="shared" si="6"/>
        <v>0</v>
      </c>
      <c r="F28" s="458">
        <f t="shared" si="7"/>
        <v>0</v>
      </c>
      <c r="I28" s="145"/>
    </row>
    <row r="29" spans="1:9" ht="20.100000000000001" customHeight="1" x14ac:dyDescent="0.25">
      <c r="A29" s="484" t="s">
        <v>1515</v>
      </c>
      <c r="B29" s="456" t="str">
        <f t="shared" si="4"/>
        <v>estructura metalica de espacios comunes y chapa exterior</v>
      </c>
      <c r="C29" s="457" t="str">
        <f t="shared" si="5"/>
        <v>kg</v>
      </c>
      <c r="D29" s="486">
        <v>418.37</v>
      </c>
      <c r="E29" s="458">
        <f t="shared" si="6"/>
        <v>0</v>
      </c>
      <c r="F29" s="458">
        <f t="shared" si="7"/>
        <v>0</v>
      </c>
      <c r="I29" s="145"/>
    </row>
    <row r="30" spans="1:9" ht="20.100000000000001" customHeight="1" x14ac:dyDescent="0.25">
      <c r="A30" s="484" t="s">
        <v>1516</v>
      </c>
      <c r="B30" s="456" t="str">
        <f t="shared" si="4"/>
        <v>chapa lisa en gabinetes</v>
      </c>
      <c r="C30" s="457" t="str">
        <f t="shared" si="5"/>
        <v>kg</v>
      </c>
      <c r="D30" s="486">
        <v>4.49</v>
      </c>
      <c r="E30" s="458">
        <f t="shared" si="6"/>
        <v>0</v>
      </c>
      <c r="F30" s="458">
        <f t="shared" si="7"/>
        <v>0</v>
      </c>
      <c r="I30" s="145"/>
    </row>
    <row r="31" spans="1:9" ht="20.100000000000001" customHeight="1" x14ac:dyDescent="0.25">
      <c r="A31" s="484" t="s">
        <v>1519</v>
      </c>
      <c r="B31" s="456" t="str">
        <f t="shared" ref="B31" si="8">IFERROR(VLOOKUP(A31,Tabla_Datos,2,FALSE),0)</f>
        <v xml:space="preserve">chapa micro perforada </v>
      </c>
      <c r="C31" s="457" t="str">
        <f t="shared" ref="C31" si="9">IFERROR(VLOOKUP(A31,Tabla_Datos,3,FALSE),0)</f>
        <v>kg</v>
      </c>
      <c r="D31" s="486">
        <v>44.9</v>
      </c>
      <c r="E31" s="458">
        <f t="shared" ref="E31" si="10">IFERROR(VLOOKUP(A31,Tabla_Comp_Presup,7,FALSE),0)</f>
        <v>0</v>
      </c>
      <c r="F31" s="458">
        <f t="shared" ref="F31" si="11">ROUND(D31*E31,15)</f>
        <v>0</v>
      </c>
      <c r="I31" s="145"/>
    </row>
    <row r="32" spans="1:9" ht="20.100000000000001" customHeight="1" x14ac:dyDescent="0.25">
      <c r="A32" s="484">
        <v>5</v>
      </c>
      <c r="B32" s="456" t="str">
        <f t="shared" si="0"/>
        <v>ALBAÑILERÍA | CERRAMIENTOS VERTICALES</v>
      </c>
      <c r="C32" s="457">
        <f t="shared" si="1"/>
        <v>0</v>
      </c>
      <c r="D32" s="486"/>
      <c r="E32" s="458">
        <f t="shared" si="2"/>
        <v>0</v>
      </c>
      <c r="F32" s="458">
        <f t="shared" si="3"/>
        <v>0</v>
      </c>
      <c r="I32" s="145"/>
    </row>
    <row r="33" spans="1:9" ht="20.100000000000001" customHeight="1" x14ac:dyDescent="0.25">
      <c r="A33" s="484" t="s">
        <v>1304</v>
      </c>
      <c r="B33" s="456" t="str">
        <f t="shared" si="0"/>
        <v>Mampostería interior - Tabique Liviano</v>
      </c>
      <c r="C33" s="457" t="str">
        <f t="shared" si="1"/>
        <v>m2</v>
      </c>
      <c r="D33" s="486">
        <v>39.14</v>
      </c>
      <c r="E33" s="458">
        <f t="shared" si="2"/>
        <v>0</v>
      </c>
      <c r="F33" s="458">
        <f t="shared" si="3"/>
        <v>0</v>
      </c>
      <c r="I33" s="145"/>
    </row>
    <row r="34" spans="1:9" ht="20.100000000000001" customHeight="1" x14ac:dyDescent="0.25">
      <c r="A34" s="484" t="s">
        <v>1305</v>
      </c>
      <c r="B34" s="456" t="str">
        <f>IFERROR(VLOOKUP(A34,Tabla_Datos,2,FALSE),0)</f>
        <v>Mampostería exterior -  Muro de ladrillo ceramico hueco</v>
      </c>
      <c r="C34" s="457" t="str">
        <f>IFERROR(VLOOKUP(A34,Tabla_Datos,3,FALSE),0)</f>
        <v>m2</v>
      </c>
      <c r="D34" s="486">
        <v>68.64</v>
      </c>
      <c r="E34" s="458">
        <f>IFERROR(VLOOKUP(A34,Tabla_Comp_Presup,7,FALSE),0)</f>
        <v>0</v>
      </c>
      <c r="F34" s="458">
        <f t="shared" si="3"/>
        <v>0</v>
      </c>
      <c r="I34" s="145"/>
    </row>
    <row r="35" spans="1:9" ht="20.100000000000001" customHeight="1" x14ac:dyDescent="0.25">
      <c r="A35" s="484">
        <v>6</v>
      </c>
      <c r="B35" s="456" t="str">
        <f t="shared" si="0"/>
        <v>AISLACIONES Y REVOQUES</v>
      </c>
      <c r="C35" s="457">
        <f t="shared" si="1"/>
        <v>0</v>
      </c>
      <c r="D35" s="486"/>
      <c r="E35" s="458">
        <f t="shared" si="2"/>
        <v>0</v>
      </c>
      <c r="F35" s="458">
        <f t="shared" si="3"/>
        <v>0</v>
      </c>
      <c r="I35" s="145"/>
    </row>
    <row r="36" spans="1:9" ht="20.100000000000001" customHeight="1" x14ac:dyDescent="0.25">
      <c r="A36" s="484" t="s">
        <v>1306</v>
      </c>
      <c r="B36" s="456" t="str">
        <f t="shared" si="0"/>
        <v>Aislación hidrófuga horizontal en muros PB (cajón)</v>
      </c>
      <c r="C36" s="457" t="str">
        <f t="shared" si="1"/>
        <v>m2</v>
      </c>
      <c r="D36" s="486">
        <v>6.17</v>
      </c>
      <c r="E36" s="458">
        <f t="shared" si="2"/>
        <v>0</v>
      </c>
      <c r="F36" s="458">
        <f t="shared" si="3"/>
        <v>0</v>
      </c>
      <c r="I36" s="145"/>
    </row>
    <row r="37" spans="1:9" ht="20.100000000000001" customHeight="1" x14ac:dyDescent="0.25">
      <c r="A37" s="484" t="s">
        <v>1307</v>
      </c>
      <c r="B37" s="456" t="str">
        <f t="shared" si="0"/>
        <v>Revoque grueso bajo revestimiento en locales húmedos</v>
      </c>
      <c r="C37" s="457" t="str">
        <f t="shared" si="1"/>
        <v>m2</v>
      </c>
      <c r="D37" s="486">
        <v>4.7140000000000004</v>
      </c>
      <c r="E37" s="458">
        <f t="shared" si="2"/>
        <v>0</v>
      </c>
      <c r="F37" s="458">
        <f t="shared" si="3"/>
        <v>0</v>
      </c>
      <c r="I37" s="145"/>
    </row>
    <row r="38" spans="1:9" ht="20.100000000000001" customHeight="1" x14ac:dyDescent="0.25">
      <c r="A38" s="484" t="s">
        <v>1308</v>
      </c>
      <c r="B38" s="456" t="str">
        <f t="shared" si="0"/>
        <v xml:space="preserve">Revoque  y enlucido interior </v>
      </c>
      <c r="C38" s="457" t="str">
        <f t="shared" si="1"/>
        <v>m2</v>
      </c>
      <c r="D38" s="486">
        <v>81.757800000000003</v>
      </c>
      <c r="E38" s="458">
        <f t="shared" si="2"/>
        <v>0</v>
      </c>
      <c r="F38" s="458">
        <f t="shared" si="3"/>
        <v>0</v>
      </c>
      <c r="I38" s="145"/>
    </row>
    <row r="39" spans="1:9" ht="20.100000000000001" customHeight="1" x14ac:dyDescent="0.25">
      <c r="A39" s="484" t="s">
        <v>1309</v>
      </c>
      <c r="B39" s="456" t="str">
        <f>IFERROR(VLOOKUP(A39,Tabla_Datos,2,FALSE),0)</f>
        <v>Revoque exterior</v>
      </c>
      <c r="C39" s="457" t="str">
        <f t="shared" si="1"/>
        <v>m2</v>
      </c>
      <c r="D39" s="486">
        <v>63.398000000000003</v>
      </c>
      <c r="E39" s="458">
        <f t="shared" si="2"/>
        <v>0</v>
      </c>
      <c r="F39" s="458">
        <f t="shared" si="3"/>
        <v>0</v>
      </c>
      <c r="H39" s="502"/>
      <c r="I39" s="145"/>
    </row>
    <row r="40" spans="1:9" ht="20.100000000000001" customHeight="1" x14ac:dyDescent="0.25">
      <c r="A40" s="484">
        <v>7</v>
      </c>
      <c r="B40" s="456" t="str">
        <f>IFERROR(VLOOKUP(A40,Tabla_Datos,2,FALSE),0)</f>
        <v>REVESTIMIENTOS</v>
      </c>
      <c r="C40" s="457">
        <f>IFERROR(VLOOKUP(A40,Tabla_Datos,3,FALSE),0)</f>
        <v>0</v>
      </c>
      <c r="D40" s="486"/>
      <c r="E40" s="458">
        <f>IFERROR(VLOOKUP(A40,Tabla_Comp_Presup,7,FALSE),0)</f>
        <v>0</v>
      </c>
      <c r="F40" s="458">
        <f t="shared" si="3"/>
        <v>0</v>
      </c>
      <c r="H40" s="445"/>
      <c r="I40" s="145"/>
    </row>
    <row r="41" spans="1:9" ht="20.100000000000001" customHeight="1" x14ac:dyDescent="0.25">
      <c r="A41" s="484" t="s">
        <v>1310</v>
      </c>
      <c r="B41" s="456" t="str">
        <f t="shared" si="0"/>
        <v>Cerámico Cocina y baño</v>
      </c>
      <c r="C41" s="457" t="str">
        <f t="shared" si="1"/>
        <v>m2</v>
      </c>
      <c r="D41" s="486">
        <v>21.76</v>
      </c>
      <c r="E41" s="458">
        <f t="shared" si="2"/>
        <v>0</v>
      </c>
      <c r="F41" s="458">
        <f t="shared" si="3"/>
        <v>0</v>
      </c>
      <c r="I41" s="145"/>
    </row>
    <row r="42" spans="1:9" ht="20.100000000000001" customHeight="1" x14ac:dyDescent="0.25">
      <c r="A42" s="484">
        <v>8</v>
      </c>
      <c r="B42" s="456" t="str">
        <f t="shared" si="0"/>
        <v>PINTURA</v>
      </c>
      <c r="C42" s="457">
        <f t="shared" si="1"/>
        <v>0</v>
      </c>
      <c r="D42" s="486"/>
      <c r="E42" s="458">
        <f t="shared" si="2"/>
        <v>0</v>
      </c>
      <c r="F42" s="458">
        <f t="shared" si="3"/>
        <v>0</v>
      </c>
      <c r="I42" s="145"/>
    </row>
    <row r="43" spans="1:9" ht="20.100000000000001" customHeight="1" x14ac:dyDescent="0.25">
      <c r="A43" s="484" t="s">
        <v>1311</v>
      </c>
      <c r="B43" s="456" t="str">
        <f t="shared" si="0"/>
        <v>Pintura al látex en muros</v>
      </c>
      <c r="C43" s="457" t="str">
        <f t="shared" si="1"/>
        <v>m2</v>
      </c>
      <c r="D43" s="486">
        <v>160.03</v>
      </c>
      <c r="E43" s="458">
        <f t="shared" si="2"/>
        <v>0</v>
      </c>
      <c r="F43" s="458">
        <f t="shared" si="3"/>
        <v>0</v>
      </c>
      <c r="I43" s="145"/>
    </row>
    <row r="44" spans="1:9" ht="20.100000000000001" customHeight="1" x14ac:dyDescent="0.25">
      <c r="A44" s="484" t="s">
        <v>1312</v>
      </c>
      <c r="B44" s="456" t="str">
        <f t="shared" si="0"/>
        <v>Pintura al látex en cielorrasos</v>
      </c>
      <c r="C44" s="457" t="str">
        <f t="shared" si="1"/>
        <v>m2</v>
      </c>
      <c r="D44" s="486">
        <v>85.67</v>
      </c>
      <c r="E44" s="458">
        <f t="shared" si="2"/>
        <v>0</v>
      </c>
      <c r="F44" s="458">
        <f t="shared" si="3"/>
        <v>0</v>
      </c>
      <c r="I44" s="145"/>
    </row>
    <row r="45" spans="1:9" ht="20.100000000000001" customHeight="1" x14ac:dyDescent="0.25">
      <c r="A45" s="484" t="s">
        <v>1313</v>
      </c>
      <c r="B45" s="456" t="str">
        <f t="shared" si="0"/>
        <v xml:space="preserve">Pintura látex antihongos                                                                                                                                                                   </v>
      </c>
      <c r="C45" s="457" t="str">
        <f t="shared" si="1"/>
        <v>m2</v>
      </c>
      <c r="D45" s="486">
        <v>3.87</v>
      </c>
      <c r="E45" s="458">
        <f t="shared" si="2"/>
        <v>0</v>
      </c>
      <c r="F45" s="458">
        <f t="shared" si="3"/>
        <v>0</v>
      </c>
      <c r="I45" s="145"/>
    </row>
    <row r="46" spans="1:9" ht="20.100000000000001" customHeight="1" x14ac:dyDescent="0.25">
      <c r="A46" s="484" t="s">
        <v>1314</v>
      </c>
      <c r="B46" s="456" t="str">
        <f t="shared" si="0"/>
        <v>Pintura al látex exterioren muros</v>
      </c>
      <c r="C46" s="457" t="str">
        <f t="shared" si="1"/>
        <v>m2</v>
      </c>
      <c r="D46" s="486">
        <v>63.36</v>
      </c>
      <c r="E46" s="458">
        <f t="shared" si="2"/>
        <v>0</v>
      </c>
      <c r="F46" s="458">
        <f t="shared" si="3"/>
        <v>0</v>
      </c>
      <c r="H46" s="145"/>
      <c r="I46" s="145"/>
    </row>
    <row r="47" spans="1:9" ht="20.100000000000001" customHeight="1" x14ac:dyDescent="0.25">
      <c r="A47" s="484" t="s">
        <v>1315</v>
      </c>
      <c r="B47" s="456" t="str">
        <f t="shared" si="0"/>
        <v>Pintura esmalte sintético carpinterías de chapa</v>
      </c>
      <c r="C47" s="457" t="str">
        <f t="shared" si="1"/>
        <v>gl</v>
      </c>
      <c r="D47" s="486">
        <v>1</v>
      </c>
      <c r="E47" s="458">
        <f t="shared" si="2"/>
        <v>0</v>
      </c>
      <c r="F47" s="458">
        <f t="shared" si="3"/>
        <v>0</v>
      </c>
      <c r="I47" s="145"/>
    </row>
    <row r="48" spans="1:9" ht="20.100000000000001" customHeight="1" x14ac:dyDescent="0.25">
      <c r="A48" s="484" t="s">
        <v>1316</v>
      </c>
      <c r="B48" s="456" t="str">
        <f t="shared" si="0"/>
        <v>Pintura esmalte sintético carpinterías de madera</v>
      </c>
      <c r="C48" s="457" t="str">
        <f t="shared" si="1"/>
        <v>gl</v>
      </c>
      <c r="D48" s="486">
        <v>1</v>
      </c>
      <c r="E48" s="458">
        <f t="shared" si="2"/>
        <v>0</v>
      </c>
      <c r="F48" s="458">
        <f t="shared" si="3"/>
        <v>0</v>
      </c>
      <c r="I48" s="145"/>
    </row>
    <row r="49" spans="1:9" ht="20.100000000000001" customHeight="1" x14ac:dyDescent="0.25">
      <c r="A49" s="484">
        <v>9</v>
      </c>
      <c r="B49" s="456" t="str">
        <f>IFERROR(VLOOKUP(A49,Tabla_Datos,2,FALSE),0)</f>
        <v>CONTRAPISOS y CARPETAS</v>
      </c>
      <c r="C49" s="457">
        <f>IFERROR(VLOOKUP(A49,Tabla_Datos,3,FALSE),0)</f>
        <v>0</v>
      </c>
      <c r="D49" s="486"/>
      <c r="E49" s="458">
        <f>IFERROR(VLOOKUP(A49,Tabla_Comp_Presup,7,FALSE),0)</f>
        <v>0</v>
      </c>
      <c r="F49" s="458">
        <f t="shared" si="3"/>
        <v>0</v>
      </c>
      <c r="I49" s="145"/>
    </row>
    <row r="50" spans="1:9" ht="20.100000000000001" customHeight="1" x14ac:dyDescent="0.25">
      <c r="A50" s="484" t="s">
        <v>1328</v>
      </c>
      <c r="B50" s="456" t="str">
        <f t="shared" si="0"/>
        <v xml:space="preserve">Contrapiso sobre losa de HºPº esp= 8cm </v>
      </c>
      <c r="C50" s="457" t="str">
        <f t="shared" si="1"/>
        <v>m2</v>
      </c>
      <c r="D50" s="486">
        <v>137.35</v>
      </c>
      <c r="E50" s="458">
        <f t="shared" si="2"/>
        <v>0</v>
      </c>
      <c r="F50" s="458">
        <f t="shared" si="3"/>
        <v>0</v>
      </c>
      <c r="H50" s="503"/>
      <c r="I50" s="145"/>
    </row>
    <row r="51" spans="1:9" ht="20.100000000000001" customHeight="1" x14ac:dyDescent="0.25">
      <c r="A51" s="484" t="s">
        <v>1329</v>
      </c>
      <c r="B51" s="456" t="str">
        <f>IFERROR(VLOOKUP(A51,Tabla_Datos,2,FALSE),0)</f>
        <v>Contrapiso para terrazas o azoteas con pendiente según documentación de Proyecto</v>
      </c>
      <c r="C51" s="457" t="str">
        <f>IFERROR(VLOOKUP(A51,Tabla_Datos,3,FALSE),0)</f>
        <v>m2</v>
      </c>
      <c r="D51" s="486">
        <v>4.59</v>
      </c>
      <c r="E51" s="458">
        <f>IFERROR(VLOOKUP(A51,Tabla_Comp_Presup,7,FALSE),0)</f>
        <v>0</v>
      </c>
      <c r="F51" s="458">
        <f t="shared" si="3"/>
        <v>0</v>
      </c>
      <c r="H51" s="503"/>
      <c r="I51" s="145"/>
    </row>
    <row r="52" spans="1:9" ht="20.100000000000001" customHeight="1" x14ac:dyDescent="0.25">
      <c r="A52" s="484" t="s">
        <v>1330</v>
      </c>
      <c r="B52" s="456" t="str">
        <f t="shared" si="0"/>
        <v>Banquina bajo mueble de cocina</v>
      </c>
      <c r="C52" s="457" t="str">
        <f t="shared" si="1"/>
        <v>m2</v>
      </c>
      <c r="D52" s="486">
        <v>1.79</v>
      </c>
      <c r="E52" s="458">
        <f t="shared" si="2"/>
        <v>0</v>
      </c>
      <c r="F52" s="458">
        <f t="shared" si="3"/>
        <v>0</v>
      </c>
      <c r="H52" s="503"/>
      <c r="I52" s="145"/>
    </row>
    <row r="53" spans="1:9" ht="20.100000000000001" customHeight="1" x14ac:dyDescent="0.25">
      <c r="A53" s="484" t="s">
        <v>1331</v>
      </c>
      <c r="B53" s="456" t="str">
        <f t="shared" si="0"/>
        <v xml:space="preserve">Carpeta bajo ceramico </v>
      </c>
      <c r="C53" s="457" t="str">
        <f t="shared" si="1"/>
        <v>m2</v>
      </c>
      <c r="D53" s="486">
        <v>85.67</v>
      </c>
      <c r="E53" s="458">
        <f t="shared" si="2"/>
        <v>0</v>
      </c>
      <c r="F53" s="458">
        <f t="shared" si="3"/>
        <v>0</v>
      </c>
      <c r="I53" s="145"/>
    </row>
    <row r="54" spans="1:9" ht="20.100000000000001" customHeight="1" x14ac:dyDescent="0.25">
      <c r="A54" s="484">
        <v>10</v>
      </c>
      <c r="B54" s="456" t="str">
        <f t="shared" ref="B54:B110" si="12">IFERROR(VLOOKUP(A54,Tabla_Datos,2,FALSE),0)</f>
        <v xml:space="preserve">PISOS Y ZOCALOS </v>
      </c>
      <c r="C54" s="457">
        <f t="shared" ref="C54:C110" si="13">IFERROR(VLOOKUP(A54,Tabla_Datos,3,FALSE),0)</f>
        <v>0</v>
      </c>
      <c r="D54" s="486"/>
      <c r="E54" s="458">
        <f t="shared" ref="E54:E110" si="14">IFERROR(VLOOKUP(A54,Tabla_Comp_Presup,7,FALSE),0)</f>
        <v>0</v>
      </c>
      <c r="F54" s="458">
        <f t="shared" ref="F54:F110" si="15">ROUND(D54*E54,15)</f>
        <v>0</v>
      </c>
      <c r="I54" s="145"/>
    </row>
    <row r="55" spans="1:9" ht="20.100000000000001" customHeight="1" x14ac:dyDescent="0.25">
      <c r="A55" s="484" t="s">
        <v>1332</v>
      </c>
      <c r="B55" s="456" t="str">
        <f t="shared" si="12"/>
        <v>Piso ceramico de primera calidad</v>
      </c>
      <c r="C55" s="457" t="str">
        <f t="shared" si="13"/>
        <v>m2</v>
      </c>
      <c r="D55" s="486">
        <v>85.676500000000004</v>
      </c>
      <c r="E55" s="458">
        <f t="shared" si="14"/>
        <v>0</v>
      </c>
      <c r="F55" s="458">
        <f t="shared" si="15"/>
        <v>0</v>
      </c>
      <c r="I55" s="145"/>
    </row>
    <row r="56" spans="1:9" ht="20.100000000000001" customHeight="1" x14ac:dyDescent="0.25">
      <c r="A56" s="484" t="s">
        <v>1333</v>
      </c>
      <c r="B56" s="456" t="str">
        <f t="shared" si="12"/>
        <v>Zocalo ceramico</v>
      </c>
      <c r="C56" s="457" t="str">
        <f t="shared" si="13"/>
        <v>ml</v>
      </c>
      <c r="D56" s="486">
        <v>70.77</v>
      </c>
      <c r="E56" s="458">
        <f t="shared" si="14"/>
        <v>0</v>
      </c>
      <c r="F56" s="458">
        <f t="shared" si="15"/>
        <v>0</v>
      </c>
      <c r="I56" s="145"/>
    </row>
    <row r="57" spans="1:9" ht="20.100000000000001" customHeight="1" x14ac:dyDescent="0.25">
      <c r="A57" s="484">
        <v>11</v>
      </c>
      <c r="B57" s="456" t="str">
        <f t="shared" si="12"/>
        <v xml:space="preserve">CIELORRASOS  </v>
      </c>
      <c r="C57" s="457">
        <f t="shared" si="13"/>
        <v>0</v>
      </c>
      <c r="D57" s="486"/>
      <c r="E57" s="458">
        <f t="shared" si="14"/>
        <v>0</v>
      </c>
      <c r="F57" s="458">
        <f t="shared" si="15"/>
        <v>0</v>
      </c>
      <c r="I57" s="145"/>
    </row>
    <row r="58" spans="1:9" ht="20.100000000000001" customHeight="1" x14ac:dyDescent="0.25">
      <c r="A58" s="484" t="s">
        <v>1334</v>
      </c>
      <c r="B58" s="456" t="str">
        <f t="shared" si="12"/>
        <v>Cielorraso aplicado enlucido de yeso</v>
      </c>
      <c r="C58" s="457" t="str">
        <f t="shared" si="13"/>
        <v>m2</v>
      </c>
      <c r="D58" s="486">
        <v>85.676000000000002</v>
      </c>
      <c r="E58" s="458">
        <f t="shared" si="14"/>
        <v>0</v>
      </c>
      <c r="F58" s="458">
        <f t="shared" si="15"/>
        <v>0</v>
      </c>
      <c r="I58" s="145"/>
    </row>
    <row r="59" spans="1:9" ht="20.100000000000001" customHeight="1" x14ac:dyDescent="0.25">
      <c r="A59" s="484" t="s">
        <v>1335</v>
      </c>
      <c r="B59" s="456" t="str">
        <f t="shared" si="12"/>
        <v>Suspendidos de placa de roca de yeso resistente a la humedad ( con proteccion acustica)</v>
      </c>
      <c r="C59" s="457" t="str">
        <f t="shared" si="13"/>
        <v>m2</v>
      </c>
      <c r="D59" s="486">
        <v>3.8769999999999998</v>
      </c>
      <c r="E59" s="458">
        <f t="shared" si="14"/>
        <v>0</v>
      </c>
      <c r="F59" s="458">
        <f t="shared" si="15"/>
        <v>0</v>
      </c>
      <c r="I59" s="145"/>
    </row>
    <row r="60" spans="1:9" ht="20.100000000000001" customHeight="1" x14ac:dyDescent="0.25">
      <c r="A60" s="484">
        <v>12</v>
      </c>
      <c r="B60" s="456" t="str">
        <f t="shared" si="12"/>
        <v xml:space="preserve">CUBIERTA </v>
      </c>
      <c r="C60" s="457">
        <f t="shared" si="13"/>
        <v>0</v>
      </c>
      <c r="D60" s="486"/>
      <c r="E60" s="458">
        <f t="shared" si="14"/>
        <v>0</v>
      </c>
      <c r="F60" s="458">
        <f t="shared" si="15"/>
        <v>0</v>
      </c>
      <c r="I60" s="145"/>
    </row>
    <row r="61" spans="1:9" ht="20.100000000000001" customHeight="1" x14ac:dyDescent="0.25">
      <c r="A61" s="484" t="s">
        <v>1386</v>
      </c>
      <c r="B61" s="456" t="str">
        <f t="shared" si="12"/>
        <v>Hormigón Liviano con Pendiente | esp min 5 cm</v>
      </c>
      <c r="C61" s="457" t="str">
        <f t="shared" si="13"/>
        <v>m2</v>
      </c>
      <c r="D61" s="486">
        <v>17.13</v>
      </c>
      <c r="E61" s="458">
        <f t="shared" si="14"/>
        <v>0</v>
      </c>
      <c r="F61" s="458">
        <f t="shared" si="15"/>
        <v>0</v>
      </c>
      <c r="I61" s="145"/>
    </row>
    <row r="62" spans="1:9" ht="20.100000000000001" customHeight="1" x14ac:dyDescent="0.25">
      <c r="A62" s="484" t="s">
        <v>1387</v>
      </c>
      <c r="B62" s="456" t="str">
        <f t="shared" si="12"/>
        <v>Pintura asfáltica para imprimación de membrana</v>
      </c>
      <c r="C62" s="457" t="str">
        <f t="shared" si="13"/>
        <v>m2</v>
      </c>
      <c r="D62" s="486">
        <v>17.13</v>
      </c>
      <c r="E62" s="458">
        <f t="shared" si="14"/>
        <v>0</v>
      </c>
      <c r="F62" s="458">
        <f t="shared" si="15"/>
        <v>0</v>
      </c>
      <c r="I62" s="145"/>
    </row>
    <row r="63" spans="1:9" ht="20.100000000000001" customHeight="1" x14ac:dyDescent="0.25">
      <c r="A63" s="484" t="s">
        <v>1388</v>
      </c>
      <c r="B63" s="456" t="str">
        <f t="shared" si="12"/>
        <v>Membrana Asfáltica 4mm terminación aluminio gofrado de 40 micrones</v>
      </c>
      <c r="C63" s="457" t="str">
        <f t="shared" si="13"/>
        <v>m2</v>
      </c>
      <c r="D63" s="486">
        <v>17.13</v>
      </c>
      <c r="E63" s="458">
        <f t="shared" si="14"/>
        <v>0</v>
      </c>
      <c r="F63" s="458">
        <f t="shared" si="15"/>
        <v>0</v>
      </c>
      <c r="I63" s="145"/>
    </row>
    <row r="64" spans="1:9" ht="20.100000000000001" customHeight="1" x14ac:dyDescent="0.25">
      <c r="A64" s="484">
        <v>13</v>
      </c>
      <c r="B64" s="456" t="str">
        <f t="shared" si="12"/>
        <v>CARPINTERIAS</v>
      </c>
      <c r="C64" s="457">
        <f t="shared" si="13"/>
        <v>0</v>
      </c>
      <c r="D64" s="486"/>
      <c r="E64" s="458">
        <f t="shared" si="14"/>
        <v>0</v>
      </c>
      <c r="F64" s="458">
        <f t="shared" si="15"/>
        <v>0</v>
      </c>
      <c r="I64" s="145"/>
    </row>
    <row r="65" spans="1:9" ht="20.100000000000001" customHeight="1" x14ac:dyDescent="0.25">
      <c r="A65" s="484" t="s">
        <v>1389</v>
      </c>
      <c r="B65" s="456" t="str">
        <f t="shared" si="12"/>
        <v>Carpinterías interiores de madera</v>
      </c>
      <c r="C65" s="457" t="str">
        <f t="shared" si="13"/>
        <v>u</v>
      </c>
      <c r="D65" s="486">
        <v>3.0612200000000001</v>
      </c>
      <c r="E65" s="458">
        <f t="shared" si="14"/>
        <v>0</v>
      </c>
      <c r="F65" s="458">
        <f t="shared" si="15"/>
        <v>0</v>
      </c>
      <c r="I65" s="145"/>
    </row>
    <row r="66" spans="1:9" ht="20.100000000000001" customHeight="1" x14ac:dyDescent="0.25">
      <c r="A66" s="484" t="s">
        <v>1390</v>
      </c>
      <c r="B66" s="456" t="str">
        <f t="shared" si="12"/>
        <v>Puerta de ingreso a vivienda (2.05 x 0.9)</v>
      </c>
      <c r="C66" s="457" t="str">
        <f t="shared" si="13"/>
        <v>u</v>
      </c>
      <c r="D66" s="486">
        <v>1.020408</v>
      </c>
      <c r="E66" s="458">
        <f t="shared" si="14"/>
        <v>0</v>
      </c>
      <c r="F66" s="458">
        <f t="shared" si="15"/>
        <v>0</v>
      </c>
      <c r="I66" s="145"/>
    </row>
    <row r="67" spans="1:9" ht="20.100000000000001" customHeight="1" x14ac:dyDescent="0.25">
      <c r="A67" s="484" t="s">
        <v>1391</v>
      </c>
      <c r="B67" s="456" t="str">
        <f t="shared" si="12"/>
        <v>Ventanas Tipo C02(2,40 x 1,55)</v>
      </c>
      <c r="C67" s="457" t="str">
        <f t="shared" si="13"/>
        <v>u</v>
      </c>
      <c r="D67" s="486">
        <v>1.020408</v>
      </c>
      <c r="E67" s="458">
        <f t="shared" si="14"/>
        <v>0</v>
      </c>
      <c r="F67" s="458">
        <f t="shared" si="15"/>
        <v>0</v>
      </c>
      <c r="I67" s="145"/>
    </row>
    <row r="68" spans="1:9" ht="20.100000000000001" customHeight="1" x14ac:dyDescent="0.25">
      <c r="A68" s="484" t="s">
        <v>1392</v>
      </c>
      <c r="B68" s="456" t="str">
        <f t="shared" si="12"/>
        <v>Ventanas Tipo C05 (1,20 x 1,55)</v>
      </c>
      <c r="C68" s="457" t="str">
        <f t="shared" si="13"/>
        <v>u</v>
      </c>
      <c r="D68" s="486">
        <v>3.0612249999999999</v>
      </c>
      <c r="E68" s="458">
        <f t="shared" si="14"/>
        <v>0</v>
      </c>
      <c r="F68" s="458">
        <f t="shared" si="15"/>
        <v>0</v>
      </c>
      <c r="I68" s="145"/>
    </row>
    <row r="69" spans="1:9" ht="20.100000000000001" customHeight="1" x14ac:dyDescent="0.25">
      <c r="A69" s="484">
        <v>14</v>
      </c>
      <c r="B69" s="456" t="str">
        <f t="shared" si="12"/>
        <v>MARMOLERÍA</v>
      </c>
      <c r="C69" s="457">
        <f t="shared" si="13"/>
        <v>0</v>
      </c>
      <c r="D69" s="486"/>
      <c r="E69" s="458">
        <f t="shared" si="14"/>
        <v>0</v>
      </c>
      <c r="F69" s="458">
        <f t="shared" si="15"/>
        <v>0</v>
      </c>
      <c r="I69" s="145"/>
    </row>
    <row r="70" spans="1:9" ht="20.100000000000001" customHeight="1" x14ac:dyDescent="0.25">
      <c r="A70" s="484" t="s">
        <v>1393</v>
      </c>
      <c r="B70" s="456" t="str">
        <f t="shared" si="12"/>
        <v>Mesada de cocina en granito</v>
      </c>
      <c r="C70" s="457" t="str">
        <f t="shared" si="13"/>
        <v>m2</v>
      </c>
      <c r="D70" s="486">
        <v>1.6326499999999999</v>
      </c>
      <c r="E70" s="458">
        <f t="shared" si="14"/>
        <v>0</v>
      </c>
      <c r="F70" s="458">
        <f t="shared" si="15"/>
        <v>0</v>
      </c>
      <c r="I70" s="145"/>
    </row>
    <row r="71" spans="1:9" ht="20.100000000000001" customHeight="1" x14ac:dyDescent="0.25">
      <c r="A71" s="484">
        <v>15</v>
      </c>
      <c r="B71" s="456" t="str">
        <f t="shared" si="12"/>
        <v>INSTALACIÓN ELÉCTRICA</v>
      </c>
      <c r="C71" s="457">
        <f t="shared" si="13"/>
        <v>0</v>
      </c>
      <c r="D71" s="486"/>
      <c r="E71" s="458">
        <f t="shared" si="14"/>
        <v>0</v>
      </c>
      <c r="F71" s="458">
        <f t="shared" si="15"/>
        <v>0</v>
      </c>
      <c r="I71" s="145"/>
    </row>
    <row r="72" spans="1:9" ht="20.100000000000001" customHeight="1" x14ac:dyDescent="0.25">
      <c r="A72" s="484" t="s">
        <v>1394</v>
      </c>
      <c r="B72" s="456" t="str">
        <f t="shared" si="12"/>
        <v>Instalación eléctrica</v>
      </c>
      <c r="C72" s="457" t="str">
        <f t="shared" si="13"/>
        <v>gl</v>
      </c>
      <c r="D72" s="486">
        <v>1</v>
      </c>
      <c r="E72" s="458">
        <f t="shared" si="14"/>
        <v>0</v>
      </c>
      <c r="F72" s="458">
        <f t="shared" si="15"/>
        <v>0</v>
      </c>
      <c r="I72" s="145"/>
    </row>
    <row r="73" spans="1:9" ht="20.100000000000001" customHeight="1" x14ac:dyDescent="0.25">
      <c r="A73" s="484" t="s">
        <v>1395</v>
      </c>
      <c r="B73" s="456" t="str">
        <f t="shared" si="12"/>
        <v>Tablero principal</v>
      </c>
      <c r="C73" s="457" t="str">
        <f t="shared" si="13"/>
        <v>gl</v>
      </c>
      <c r="D73" s="486">
        <v>1</v>
      </c>
      <c r="E73" s="458">
        <f t="shared" si="14"/>
        <v>0</v>
      </c>
      <c r="F73" s="458">
        <f t="shared" si="15"/>
        <v>0</v>
      </c>
      <c r="I73" s="145"/>
    </row>
    <row r="74" spans="1:9" ht="20.100000000000001" customHeight="1" x14ac:dyDescent="0.25">
      <c r="A74" s="484" t="s">
        <v>1396</v>
      </c>
      <c r="B74" s="456" t="str">
        <f t="shared" si="12"/>
        <v>Tablero secundarios</v>
      </c>
      <c r="C74" s="457" t="str">
        <f t="shared" si="13"/>
        <v>gl</v>
      </c>
      <c r="D74" s="486">
        <v>1</v>
      </c>
      <c r="E74" s="458">
        <f t="shared" si="14"/>
        <v>0</v>
      </c>
      <c r="F74" s="458">
        <f t="shared" si="15"/>
        <v>0</v>
      </c>
      <c r="I74" s="145"/>
    </row>
    <row r="75" spans="1:9" ht="20.100000000000001" customHeight="1" x14ac:dyDescent="0.25">
      <c r="A75" s="484" t="s">
        <v>1397</v>
      </c>
      <c r="B75" s="456" t="str">
        <f t="shared" si="12"/>
        <v>Bocas iluminación UF</v>
      </c>
      <c r="C75" s="457" t="str">
        <f t="shared" si="13"/>
        <v>gl</v>
      </c>
      <c r="D75" s="486">
        <v>1</v>
      </c>
      <c r="E75" s="458">
        <f t="shared" si="14"/>
        <v>0</v>
      </c>
      <c r="F75" s="458">
        <f t="shared" si="15"/>
        <v>0</v>
      </c>
      <c r="I75" s="145"/>
    </row>
    <row r="76" spans="1:9" ht="20.100000000000001" customHeight="1" x14ac:dyDescent="0.25">
      <c r="A76" s="484" t="s">
        <v>1398</v>
      </c>
      <c r="B76" s="456" t="str">
        <f t="shared" si="12"/>
        <v>Bocas iluminación Uc</v>
      </c>
      <c r="C76" s="457" t="str">
        <f t="shared" si="13"/>
        <v>gl</v>
      </c>
      <c r="D76" s="486">
        <v>1</v>
      </c>
      <c r="E76" s="458">
        <f t="shared" si="14"/>
        <v>0</v>
      </c>
      <c r="F76" s="458">
        <f t="shared" si="15"/>
        <v>0</v>
      </c>
      <c r="I76" s="145"/>
    </row>
    <row r="77" spans="1:9" ht="20.100000000000001" customHeight="1" x14ac:dyDescent="0.25">
      <c r="A77" s="484" t="s">
        <v>1399</v>
      </c>
      <c r="B77" s="456" t="str">
        <f t="shared" si="12"/>
        <v>Boca toma corriente uso común</v>
      </c>
      <c r="C77" s="457" t="str">
        <f t="shared" si="13"/>
        <v>gl</v>
      </c>
      <c r="D77" s="486">
        <v>1</v>
      </c>
      <c r="E77" s="458">
        <f t="shared" si="14"/>
        <v>0</v>
      </c>
      <c r="F77" s="458">
        <f t="shared" si="15"/>
        <v>0</v>
      </c>
      <c r="I77" s="145"/>
    </row>
    <row r="78" spans="1:9" ht="20.100000000000001" customHeight="1" x14ac:dyDescent="0.25">
      <c r="A78" s="484" t="s">
        <v>1400</v>
      </c>
      <c r="B78" s="456" t="str">
        <f t="shared" si="12"/>
        <v>Llaves</v>
      </c>
      <c r="C78" s="457" t="str">
        <f t="shared" si="13"/>
        <v>gl</v>
      </c>
      <c r="D78" s="486">
        <v>1</v>
      </c>
      <c r="E78" s="458">
        <f t="shared" si="14"/>
        <v>0</v>
      </c>
      <c r="F78" s="458">
        <f t="shared" si="15"/>
        <v>0</v>
      </c>
      <c r="I78" s="145"/>
    </row>
    <row r="79" spans="1:9" ht="20.100000000000001" customHeight="1" x14ac:dyDescent="0.25">
      <c r="A79" s="484" t="s">
        <v>1401</v>
      </c>
      <c r="B79" s="456" t="str">
        <f t="shared" si="12"/>
        <v xml:space="preserve">Boca teléfono, timbre, TV y portero </v>
      </c>
      <c r="C79" s="457" t="str">
        <f t="shared" si="13"/>
        <v>gl</v>
      </c>
      <c r="D79" s="486">
        <v>1</v>
      </c>
      <c r="E79" s="458">
        <f t="shared" si="14"/>
        <v>0</v>
      </c>
      <c r="F79" s="458">
        <f t="shared" si="15"/>
        <v>0</v>
      </c>
      <c r="I79" s="145"/>
    </row>
    <row r="80" spans="1:9" ht="20.100000000000001" customHeight="1" x14ac:dyDescent="0.25">
      <c r="A80" s="484" t="s">
        <v>1402</v>
      </c>
      <c r="B80" s="456" t="str">
        <f t="shared" si="12"/>
        <v>Instalacion equipo luz de emergencia en espacios comunes</v>
      </c>
      <c r="C80" s="457" t="str">
        <f t="shared" si="13"/>
        <v>gl</v>
      </c>
      <c r="D80" s="486">
        <v>1</v>
      </c>
      <c r="E80" s="458">
        <f t="shared" si="14"/>
        <v>0</v>
      </c>
      <c r="F80" s="458">
        <f t="shared" si="15"/>
        <v>0</v>
      </c>
      <c r="I80" s="145"/>
    </row>
    <row r="81" spans="1:9" ht="20.100000000000001" customHeight="1" x14ac:dyDescent="0.25">
      <c r="A81" s="484" t="s">
        <v>1403</v>
      </c>
      <c r="B81" s="456" t="str">
        <f t="shared" si="12"/>
        <v>Servicios generales / pat</v>
      </c>
      <c r="C81" s="457" t="str">
        <f t="shared" si="13"/>
        <v>gl</v>
      </c>
      <c r="D81" s="486">
        <v>1</v>
      </c>
      <c r="E81" s="458">
        <f t="shared" si="14"/>
        <v>0</v>
      </c>
      <c r="F81" s="458">
        <f t="shared" si="15"/>
        <v>0</v>
      </c>
      <c r="I81" s="145"/>
    </row>
    <row r="82" spans="1:9" ht="20.100000000000001" customHeight="1" x14ac:dyDescent="0.25">
      <c r="A82" s="484" t="s">
        <v>1404</v>
      </c>
      <c r="B82" s="456" t="str">
        <f t="shared" si="12"/>
        <v>Instalación aire acondicionado</v>
      </c>
      <c r="C82" s="457" t="str">
        <f t="shared" si="13"/>
        <v>gl</v>
      </c>
      <c r="D82" s="486">
        <v>1</v>
      </c>
      <c r="E82" s="458">
        <f t="shared" si="14"/>
        <v>0</v>
      </c>
      <c r="F82" s="458">
        <f t="shared" si="15"/>
        <v>0</v>
      </c>
      <c r="I82" s="145"/>
    </row>
    <row r="83" spans="1:9" ht="20.100000000000001" customHeight="1" x14ac:dyDescent="0.25">
      <c r="A83" s="484" t="s">
        <v>1405</v>
      </c>
      <c r="B83" s="456" t="str">
        <f t="shared" si="12"/>
        <v xml:space="preserve">Artefactos en locales comunes </v>
      </c>
      <c r="C83" s="457" t="str">
        <f t="shared" si="13"/>
        <v>gl</v>
      </c>
      <c r="D83" s="486">
        <v>1</v>
      </c>
      <c r="E83" s="458">
        <f t="shared" si="14"/>
        <v>0</v>
      </c>
      <c r="F83" s="458">
        <f t="shared" si="15"/>
        <v>0</v>
      </c>
      <c r="I83" s="145"/>
    </row>
    <row r="84" spans="1:9" ht="20.100000000000001" customHeight="1" x14ac:dyDescent="0.25">
      <c r="A84" s="484" t="s">
        <v>1406</v>
      </c>
      <c r="B84" s="456" t="str">
        <f t="shared" si="12"/>
        <v>Canalizacion y cableado de comando calefon solar</v>
      </c>
      <c r="C84" s="457" t="str">
        <f t="shared" si="13"/>
        <v>gl</v>
      </c>
      <c r="D84" s="486">
        <v>1</v>
      </c>
      <c r="E84" s="458">
        <f t="shared" si="14"/>
        <v>0</v>
      </c>
      <c r="F84" s="458">
        <f t="shared" si="15"/>
        <v>0</v>
      </c>
      <c r="I84" s="145"/>
    </row>
    <row r="85" spans="1:9" ht="20.100000000000001" customHeight="1" x14ac:dyDescent="0.25">
      <c r="A85" s="484">
        <v>16</v>
      </c>
      <c r="B85" s="456" t="str">
        <f t="shared" si="12"/>
        <v>INSTALACIÓN SANITARIA</v>
      </c>
      <c r="C85" s="457">
        <f t="shared" si="13"/>
        <v>0</v>
      </c>
      <c r="D85" s="486"/>
      <c r="E85" s="458">
        <f t="shared" si="14"/>
        <v>0</v>
      </c>
      <c r="F85" s="458">
        <f t="shared" si="15"/>
        <v>0</v>
      </c>
      <c r="I85" s="145"/>
    </row>
    <row r="86" spans="1:9" ht="20.100000000000001" customHeight="1" x14ac:dyDescent="0.25">
      <c r="A86" s="484" t="s">
        <v>1407</v>
      </c>
      <c r="B86" s="456" t="str">
        <f t="shared" si="12"/>
        <v>Instalación agua fría y caliente</v>
      </c>
      <c r="C86" s="457" t="str">
        <f t="shared" si="13"/>
        <v>gl</v>
      </c>
      <c r="D86" s="486">
        <v>1</v>
      </c>
      <c r="E86" s="458">
        <f t="shared" si="14"/>
        <v>0</v>
      </c>
      <c r="F86" s="458">
        <f t="shared" si="15"/>
        <v>0</v>
      </c>
      <c r="I86" s="145"/>
    </row>
    <row r="87" spans="1:9" ht="20.100000000000001" customHeight="1" x14ac:dyDescent="0.25">
      <c r="A87" s="484" t="s">
        <v>1408</v>
      </c>
      <c r="B87" s="456" t="str">
        <f t="shared" si="12"/>
        <v>Desagües Cloacales</v>
      </c>
      <c r="C87" s="457" t="str">
        <f t="shared" si="13"/>
        <v>gl</v>
      </c>
      <c r="D87" s="486">
        <v>1</v>
      </c>
      <c r="E87" s="458">
        <f t="shared" si="14"/>
        <v>0</v>
      </c>
      <c r="F87" s="458">
        <f t="shared" si="15"/>
        <v>0</v>
      </c>
      <c r="I87" s="145"/>
    </row>
    <row r="88" spans="1:9" ht="20.100000000000001" customHeight="1" x14ac:dyDescent="0.25">
      <c r="A88" s="484" t="s">
        <v>1409</v>
      </c>
      <c r="B88" s="456" t="str">
        <f t="shared" si="12"/>
        <v>Desagües Pluviales</v>
      </c>
      <c r="C88" s="457" t="str">
        <f t="shared" si="13"/>
        <v>gl</v>
      </c>
      <c r="D88" s="486">
        <v>1</v>
      </c>
      <c r="E88" s="458">
        <f t="shared" si="14"/>
        <v>0</v>
      </c>
      <c r="F88" s="458">
        <f t="shared" si="15"/>
        <v>0</v>
      </c>
      <c r="I88" s="145"/>
    </row>
    <row r="89" spans="1:9" ht="20.100000000000001" customHeight="1" x14ac:dyDescent="0.25">
      <c r="A89" s="484" t="s">
        <v>1410</v>
      </c>
      <c r="B89" s="456" t="str">
        <f t="shared" si="12"/>
        <v>Desagüe aire acondicionado</v>
      </c>
      <c r="C89" s="457" t="str">
        <f t="shared" si="13"/>
        <v>gl</v>
      </c>
      <c r="D89" s="486">
        <v>1</v>
      </c>
      <c r="E89" s="458">
        <f t="shared" si="14"/>
        <v>0</v>
      </c>
      <c r="F89" s="458">
        <f t="shared" si="15"/>
        <v>0</v>
      </c>
      <c r="I89" s="145"/>
    </row>
    <row r="90" spans="1:9" ht="20.100000000000001" customHeight="1" x14ac:dyDescent="0.25">
      <c r="A90" s="484" t="s">
        <v>1411</v>
      </c>
      <c r="B90" s="456" t="str">
        <f t="shared" si="12"/>
        <v xml:space="preserve">Artefactos sanitarios  </v>
      </c>
      <c r="C90" s="457" t="str">
        <f t="shared" si="13"/>
        <v>gl</v>
      </c>
      <c r="D90" s="486">
        <v>1</v>
      </c>
      <c r="E90" s="458">
        <f t="shared" si="14"/>
        <v>0</v>
      </c>
      <c r="F90" s="458">
        <f t="shared" si="15"/>
        <v>0</v>
      </c>
      <c r="I90" s="145"/>
    </row>
    <row r="91" spans="1:9" ht="20.100000000000001" customHeight="1" x14ac:dyDescent="0.25">
      <c r="A91" s="484" t="s">
        <v>1412</v>
      </c>
      <c r="B91" s="456" t="str">
        <f t="shared" si="12"/>
        <v>Griferia de sanitario y cocina</v>
      </c>
      <c r="C91" s="457" t="str">
        <f t="shared" si="13"/>
        <v>gl</v>
      </c>
      <c r="D91" s="486">
        <v>1</v>
      </c>
      <c r="E91" s="458">
        <f t="shared" si="14"/>
        <v>0</v>
      </c>
      <c r="F91" s="458">
        <f t="shared" si="15"/>
        <v>0</v>
      </c>
      <c r="I91" s="145"/>
    </row>
    <row r="92" spans="1:9" ht="20.100000000000001" customHeight="1" x14ac:dyDescent="0.25">
      <c r="A92" s="484" t="s">
        <v>1413</v>
      </c>
      <c r="B92" s="456" t="str">
        <f t="shared" si="12"/>
        <v>Accesorios de sanitarios</v>
      </c>
      <c r="C92" s="457" t="str">
        <f t="shared" si="13"/>
        <v>gl</v>
      </c>
      <c r="D92" s="486">
        <v>1</v>
      </c>
      <c r="E92" s="458">
        <f t="shared" si="14"/>
        <v>0</v>
      </c>
      <c r="F92" s="458">
        <f t="shared" si="15"/>
        <v>0</v>
      </c>
      <c r="I92" s="145"/>
    </row>
    <row r="93" spans="1:9" ht="20.100000000000001" customHeight="1" x14ac:dyDescent="0.25">
      <c r="A93" s="484" t="s">
        <v>1414</v>
      </c>
      <c r="B93" s="456" t="str">
        <f t="shared" si="12"/>
        <v>Tanque de bombeo (5000 litros)</v>
      </c>
      <c r="C93" s="457" t="str">
        <f t="shared" si="13"/>
        <v>gl</v>
      </c>
      <c r="D93" s="486">
        <v>4.0816999999999999E-2</v>
      </c>
      <c r="E93" s="458">
        <f t="shared" si="14"/>
        <v>0</v>
      </c>
      <c r="F93" s="458">
        <f t="shared" si="15"/>
        <v>0</v>
      </c>
      <c r="I93" s="145"/>
    </row>
    <row r="94" spans="1:9" ht="20.100000000000001" customHeight="1" x14ac:dyDescent="0.25">
      <c r="A94" s="484" t="s">
        <v>1415</v>
      </c>
      <c r="B94" s="456" t="str">
        <f t="shared" si="12"/>
        <v xml:space="preserve">Tanque de reserva (5000 litros) </v>
      </c>
      <c r="C94" s="457" t="str">
        <f t="shared" si="13"/>
        <v>gl</v>
      </c>
      <c r="D94" s="486">
        <v>0.10204000000000001</v>
      </c>
      <c r="E94" s="458">
        <f t="shared" si="14"/>
        <v>0</v>
      </c>
      <c r="F94" s="458">
        <f t="shared" si="15"/>
        <v>0</v>
      </c>
      <c r="I94" s="145"/>
    </row>
    <row r="95" spans="1:9" ht="20.100000000000001" customHeight="1" x14ac:dyDescent="0.25">
      <c r="A95" s="484">
        <v>17</v>
      </c>
      <c r="B95" s="456" t="str">
        <f t="shared" si="12"/>
        <v>INSTALACIÓN CONTRA INCENDIO TOTAL</v>
      </c>
      <c r="C95" s="457">
        <f t="shared" si="13"/>
        <v>0</v>
      </c>
      <c r="D95" s="486"/>
      <c r="E95" s="458">
        <f t="shared" si="14"/>
        <v>0</v>
      </c>
      <c r="F95" s="458">
        <f t="shared" si="15"/>
        <v>0</v>
      </c>
      <c r="I95" s="145"/>
    </row>
    <row r="96" spans="1:9" ht="20.100000000000001" customHeight="1" x14ac:dyDescent="0.25">
      <c r="A96" s="484" t="s">
        <v>1416</v>
      </c>
      <c r="B96" s="456" t="str">
        <f t="shared" si="12"/>
        <v>Tanque de reserva   PRFV 5000 LTS</v>
      </c>
      <c r="C96" s="457" t="str">
        <f t="shared" si="13"/>
        <v>u</v>
      </c>
      <c r="D96" s="486">
        <v>6.7960999999999994E-2</v>
      </c>
      <c r="E96" s="458">
        <f t="shared" si="14"/>
        <v>0</v>
      </c>
      <c r="F96" s="458">
        <f t="shared" si="15"/>
        <v>0</v>
      </c>
      <c r="I96" s="145"/>
    </row>
    <row r="97" spans="1:9" ht="20.100000000000001" customHeight="1" x14ac:dyDescent="0.25">
      <c r="A97" s="484" t="s">
        <v>1417</v>
      </c>
      <c r="B97" s="456" t="str">
        <f t="shared" si="12"/>
        <v xml:space="preserve">Bomba de 15 hp </v>
      </c>
      <c r="C97" s="457" t="str">
        <f t="shared" si="13"/>
        <v>u</v>
      </c>
      <c r="D97" s="486">
        <v>3.8835000000000001E-2</v>
      </c>
      <c r="E97" s="458">
        <f t="shared" si="14"/>
        <v>0</v>
      </c>
      <c r="F97" s="458">
        <f t="shared" si="15"/>
        <v>0</v>
      </c>
      <c r="I97" s="145"/>
    </row>
    <row r="98" spans="1:9" ht="20.100000000000001" customHeight="1" x14ac:dyDescent="0.25">
      <c r="A98" s="484" t="s">
        <v>1418</v>
      </c>
      <c r="B98" s="456" t="str">
        <f t="shared" si="12"/>
        <v>Extintores ABC 5 kg</v>
      </c>
      <c r="C98" s="457" t="str">
        <f t="shared" si="13"/>
        <v>u</v>
      </c>
      <c r="D98" s="486">
        <v>0.58252400000000004</v>
      </c>
      <c r="E98" s="458">
        <f t="shared" si="14"/>
        <v>0</v>
      </c>
      <c r="F98" s="458">
        <f t="shared" si="15"/>
        <v>0</v>
      </c>
      <c r="I98" s="145"/>
    </row>
    <row r="99" spans="1:9" ht="20.100000000000001" customHeight="1" x14ac:dyDescent="0.25">
      <c r="A99" s="484" t="s">
        <v>1419</v>
      </c>
      <c r="B99" s="456" t="str">
        <f t="shared" si="12"/>
        <v>Hidrantes con caja lanza y martillo</v>
      </c>
      <c r="C99" s="457" t="str">
        <f t="shared" si="13"/>
        <v>u</v>
      </c>
      <c r="D99" s="486">
        <v>0.28571400000000002</v>
      </c>
      <c r="E99" s="458">
        <f t="shared" si="14"/>
        <v>0</v>
      </c>
      <c r="F99" s="458">
        <f t="shared" si="15"/>
        <v>0</v>
      </c>
      <c r="I99" s="145"/>
    </row>
    <row r="100" spans="1:9" ht="20.100000000000001" customHeight="1" x14ac:dyDescent="0.25">
      <c r="A100" s="484" t="s">
        <v>1420</v>
      </c>
      <c r="B100" s="456" t="str">
        <f t="shared" si="12"/>
        <v>Manguera para incendio diametro 38,long 25 metros</v>
      </c>
      <c r="C100" s="457" t="str">
        <f t="shared" si="13"/>
        <v>u</v>
      </c>
      <c r="D100" s="486">
        <v>0.28571400000000002</v>
      </c>
      <c r="E100" s="458">
        <f t="shared" si="14"/>
        <v>0</v>
      </c>
      <c r="F100" s="458">
        <f t="shared" si="15"/>
        <v>0</v>
      </c>
      <c r="I100" s="145"/>
    </row>
    <row r="101" spans="1:9" ht="20.100000000000001" customHeight="1" x14ac:dyDescent="0.25">
      <c r="A101" s="484" t="s">
        <v>1421</v>
      </c>
      <c r="B101" s="456" t="str">
        <f t="shared" si="12"/>
        <v xml:space="preserve">Bomba Joker </v>
      </c>
      <c r="C101" s="457" t="str">
        <f t="shared" si="13"/>
        <v>u</v>
      </c>
      <c r="D101" s="486">
        <v>2.0407999999999999E-2</v>
      </c>
      <c r="E101" s="458">
        <f t="shared" si="14"/>
        <v>0</v>
      </c>
      <c r="F101" s="458">
        <f t="shared" si="15"/>
        <v>0</v>
      </c>
      <c r="I101" s="145"/>
    </row>
    <row r="102" spans="1:9" ht="20.100000000000001" customHeight="1" x14ac:dyDescent="0.25">
      <c r="A102" s="484" t="s">
        <v>1422</v>
      </c>
      <c r="B102" s="456" t="str">
        <f t="shared" si="12"/>
        <v>Luces de Emergencia</v>
      </c>
      <c r="C102" s="457" t="str">
        <f t="shared" si="13"/>
        <v>u</v>
      </c>
      <c r="D102" s="486">
        <v>1.3877550000000001</v>
      </c>
      <c r="E102" s="458">
        <f t="shared" si="14"/>
        <v>0</v>
      </c>
      <c r="F102" s="458">
        <f t="shared" si="15"/>
        <v>0</v>
      </c>
      <c r="I102" s="145"/>
    </row>
    <row r="103" spans="1:9" ht="20.100000000000001" customHeight="1" x14ac:dyDescent="0.25">
      <c r="A103" s="484" t="s">
        <v>1423</v>
      </c>
      <c r="B103" s="456" t="str">
        <f t="shared" si="12"/>
        <v>Cañeria HG 75 mm</v>
      </c>
      <c r="C103" s="457" t="str">
        <f t="shared" si="13"/>
        <v>ml</v>
      </c>
      <c r="D103" s="486">
        <v>0</v>
      </c>
      <c r="E103" s="458">
        <f t="shared" si="14"/>
        <v>0</v>
      </c>
      <c r="F103" s="458">
        <f t="shared" si="15"/>
        <v>0</v>
      </c>
      <c r="I103" s="145"/>
    </row>
    <row r="104" spans="1:9" ht="20.100000000000001" customHeight="1" x14ac:dyDescent="0.25">
      <c r="A104" s="484" t="s">
        <v>1424</v>
      </c>
      <c r="B104" s="456" t="str">
        <f t="shared" si="12"/>
        <v>Cañeria HG 63 mm</v>
      </c>
      <c r="C104" s="457" t="str">
        <f t="shared" si="13"/>
        <v>ml</v>
      </c>
      <c r="D104" s="486">
        <v>2.3877549999999998</v>
      </c>
      <c r="E104" s="458">
        <f t="shared" si="14"/>
        <v>0</v>
      </c>
      <c r="F104" s="458">
        <f t="shared" si="15"/>
        <v>0</v>
      </c>
      <c r="I104" s="145"/>
    </row>
    <row r="105" spans="1:9" ht="20.100000000000001" customHeight="1" x14ac:dyDescent="0.25">
      <c r="A105" s="484" t="s">
        <v>1425</v>
      </c>
      <c r="B105" s="456" t="str">
        <f t="shared" si="12"/>
        <v>Cañeria HG 50 mm</v>
      </c>
      <c r="C105" s="457" t="str">
        <f t="shared" si="13"/>
        <v>ml</v>
      </c>
      <c r="D105" s="486">
        <v>0.22449</v>
      </c>
      <c r="E105" s="458">
        <f t="shared" si="14"/>
        <v>0</v>
      </c>
      <c r="F105" s="458">
        <f t="shared" si="15"/>
        <v>0</v>
      </c>
      <c r="I105" s="145"/>
    </row>
    <row r="106" spans="1:9" ht="20.100000000000001" customHeight="1" x14ac:dyDescent="0.25">
      <c r="A106" s="484" t="s">
        <v>1426</v>
      </c>
      <c r="B106" s="456" t="str">
        <f t="shared" si="12"/>
        <v>Valvulas Esclusas de bronce dim 45</v>
      </c>
      <c r="C106" s="457" t="str">
        <f t="shared" si="13"/>
        <v>u</v>
      </c>
      <c r="D106" s="486">
        <v>0.244898</v>
      </c>
      <c r="E106" s="458">
        <f t="shared" si="14"/>
        <v>0</v>
      </c>
      <c r="F106" s="458">
        <f t="shared" si="15"/>
        <v>0</v>
      </c>
      <c r="I106" s="145"/>
    </row>
    <row r="107" spans="1:9" ht="20.100000000000001" customHeight="1" x14ac:dyDescent="0.25">
      <c r="A107" s="484" t="s">
        <v>1427</v>
      </c>
      <c r="B107" s="456" t="str">
        <f t="shared" si="12"/>
        <v>Valvulas Esclusas de bronce dim 38</v>
      </c>
      <c r="C107" s="457" t="str">
        <f t="shared" si="13"/>
        <v>u</v>
      </c>
      <c r="D107" s="486">
        <v>4.0815999999999998E-2</v>
      </c>
      <c r="E107" s="458">
        <f t="shared" si="14"/>
        <v>0</v>
      </c>
      <c r="F107" s="458">
        <f t="shared" si="15"/>
        <v>0</v>
      </c>
      <c r="I107" s="145"/>
    </row>
    <row r="108" spans="1:9" ht="20.100000000000001" customHeight="1" x14ac:dyDescent="0.25">
      <c r="A108" s="484" t="s">
        <v>1428</v>
      </c>
      <c r="B108" s="456" t="str">
        <f t="shared" si="12"/>
        <v>Caja de Impulsion con llave esferica de 2" (60x40)</v>
      </c>
      <c r="C108" s="457" t="str">
        <f t="shared" si="13"/>
        <v>u</v>
      </c>
      <c r="D108" s="486">
        <v>2.0407999999999999E-2</v>
      </c>
      <c r="E108" s="458">
        <f t="shared" si="14"/>
        <v>0</v>
      </c>
      <c r="F108" s="458">
        <f t="shared" si="15"/>
        <v>0</v>
      </c>
      <c r="I108" s="145"/>
    </row>
    <row r="109" spans="1:9" ht="20.100000000000001" customHeight="1" x14ac:dyDescent="0.25">
      <c r="A109" s="484" t="s">
        <v>1429</v>
      </c>
      <c r="B109" s="456" t="str">
        <f t="shared" si="12"/>
        <v>Tambor con arena de 200 lts</v>
      </c>
      <c r="C109" s="457" t="str">
        <f t="shared" si="13"/>
        <v>u</v>
      </c>
      <c r="D109" s="486">
        <v>6.1224000000000001E-2</v>
      </c>
      <c r="E109" s="458">
        <f t="shared" si="14"/>
        <v>0</v>
      </c>
      <c r="F109" s="458">
        <f t="shared" si="15"/>
        <v>0</v>
      </c>
      <c r="I109" s="145"/>
    </row>
    <row r="110" spans="1:9" ht="20.100000000000001" customHeight="1" x14ac:dyDescent="0.25">
      <c r="A110" s="484">
        <v>18</v>
      </c>
      <c r="B110" s="456" t="str">
        <f t="shared" si="12"/>
        <v>INSTALACION ELECTROMECANICA</v>
      </c>
      <c r="C110" s="457">
        <f t="shared" si="13"/>
        <v>0</v>
      </c>
      <c r="D110" s="486"/>
      <c r="E110" s="458">
        <f t="shared" si="14"/>
        <v>0</v>
      </c>
      <c r="F110" s="458">
        <f t="shared" si="15"/>
        <v>0</v>
      </c>
      <c r="I110" s="145"/>
    </row>
    <row r="111" spans="1:9" ht="20.100000000000001" customHeight="1" x14ac:dyDescent="0.25">
      <c r="A111" s="484" t="s">
        <v>1430</v>
      </c>
      <c r="B111" s="456" t="str">
        <f t="shared" ref="B111:B115" si="16">IFERROR(VLOOKUP(A111,Tabla_Datos,2,FALSE),0)</f>
        <v>Instalación electromagnética</v>
      </c>
      <c r="C111" s="457" t="str">
        <f t="shared" ref="C111:C115" si="17">IFERROR(VLOOKUP(A111,Tabla_Datos,3,FALSE),0)</f>
        <v>gl</v>
      </c>
      <c r="D111" s="486">
        <v>4.0815999999999998E-2</v>
      </c>
      <c r="E111" s="458">
        <f t="shared" ref="E111:E115" si="18">IFERROR(VLOOKUP(A111,Tabla_Comp_Presup,7,FALSE),0)</f>
        <v>0</v>
      </c>
      <c r="F111" s="458">
        <f t="shared" ref="F111:F115" si="19">ROUND(D111*E111,15)</f>
        <v>0</v>
      </c>
      <c r="I111" s="145"/>
    </row>
    <row r="112" spans="1:9" ht="20.100000000000001" customHeight="1" x14ac:dyDescent="0.25">
      <c r="A112" s="484" t="s">
        <v>1431</v>
      </c>
      <c r="B112" s="456" t="str">
        <f t="shared" si="16"/>
        <v>Ascensor Electromagnetico Cap.450 kg Ancho 1100 x 1300 cm (Torre 9 niveles)</v>
      </c>
      <c r="C112" s="457" t="str">
        <f t="shared" si="17"/>
        <v>u</v>
      </c>
      <c r="D112" s="486">
        <v>0</v>
      </c>
      <c r="E112" s="458">
        <f t="shared" si="18"/>
        <v>0</v>
      </c>
      <c r="F112" s="458">
        <f t="shared" si="19"/>
        <v>0</v>
      </c>
      <c r="I112" s="145"/>
    </row>
    <row r="113" spans="1:9" ht="20.100000000000001" customHeight="1" x14ac:dyDescent="0.25">
      <c r="A113" s="484" t="s">
        <v>1521</v>
      </c>
      <c r="B113" s="456" t="str">
        <f t="shared" ref="B113" si="20">IFERROR(VLOOKUP(A113,Tabla_Datos,2,FALSE),0)</f>
        <v>Ascensor Electromagnetico Cap.450 kg Ancho 1100 x 1300 cm  (Ala 5 niveles)</v>
      </c>
      <c r="C113" s="457" t="str">
        <f t="shared" ref="C113" si="21">IFERROR(VLOOKUP(A113,Tabla_Datos,3,FALSE),0)</f>
        <v>u</v>
      </c>
      <c r="D113" s="486">
        <v>4.0815999999999998E-2</v>
      </c>
      <c r="E113" s="458">
        <f t="shared" ref="E113" si="22">IFERROR(VLOOKUP(A113,Tabla_Comp_Presup,7,FALSE),0)</f>
        <v>0</v>
      </c>
      <c r="F113" s="458">
        <f t="shared" ref="F113" si="23">ROUND(D113*E113,15)</f>
        <v>0</v>
      </c>
      <c r="I113" s="145"/>
    </row>
    <row r="114" spans="1:9" ht="20.100000000000001" customHeight="1" x14ac:dyDescent="0.25">
      <c r="A114" s="484">
        <v>19</v>
      </c>
      <c r="B114" s="456" t="str">
        <f t="shared" si="16"/>
        <v>CONDUCTOS Y VENTILACIONES</v>
      </c>
      <c r="C114" s="457">
        <f t="shared" si="17"/>
        <v>0</v>
      </c>
      <c r="D114" s="486"/>
      <c r="E114" s="458">
        <f t="shared" si="18"/>
        <v>0</v>
      </c>
      <c r="F114" s="458">
        <f t="shared" si="19"/>
        <v>0</v>
      </c>
      <c r="I114" s="145"/>
    </row>
    <row r="115" spans="1:9" ht="20.100000000000001" customHeight="1" x14ac:dyDescent="0.25">
      <c r="A115" s="484" t="s">
        <v>1432</v>
      </c>
      <c r="B115" s="456" t="str">
        <f t="shared" si="16"/>
        <v>Rejilla ventilación baños</v>
      </c>
      <c r="C115" s="457" t="str">
        <f t="shared" si="17"/>
        <v>u</v>
      </c>
      <c r="D115" s="486">
        <v>1.4285714285714286</v>
      </c>
      <c r="E115" s="458">
        <f t="shared" si="18"/>
        <v>0</v>
      </c>
      <c r="F115" s="458">
        <f t="shared" si="19"/>
        <v>0</v>
      </c>
      <c r="I115" s="145"/>
    </row>
    <row r="116" spans="1:9" ht="20.100000000000001" customHeight="1" x14ac:dyDescent="0.25">
      <c r="A116" s="193"/>
      <c r="B116" s="194"/>
      <c r="C116" s="195"/>
      <c r="D116" s="196"/>
      <c r="E116" s="197"/>
      <c r="F116" s="197"/>
    </row>
    <row r="117" spans="1:9" ht="20.100000000000001" customHeight="1" x14ac:dyDescent="0.25">
      <c r="A117" s="459" t="s">
        <v>1106</v>
      </c>
      <c r="B117" s="460" t="s">
        <v>1162</v>
      </c>
      <c r="C117" s="461"/>
      <c r="D117" s="462"/>
      <c r="E117" s="463"/>
      <c r="F117" s="464">
        <f>ROUND(F126/Coef_Paso_Vivienda,2)</f>
        <v>0</v>
      </c>
    </row>
    <row r="118" spans="1:9" ht="20.100000000000001" customHeight="1" x14ac:dyDescent="0.25">
      <c r="A118" s="465" t="s">
        <v>1107</v>
      </c>
      <c r="B118" s="466" t="str">
        <f>"COSTO FINANCIERO  "&amp;ROUND(Costo_Financiero*100,2)&amp;" % de ( 1 )"</f>
        <v>COSTO FINANCIERO  0 % de ( 1 )</v>
      </c>
      <c r="C118" s="467">
        <f>Costo_Financiero</f>
        <v>0</v>
      </c>
      <c r="D118" s="468"/>
      <c r="E118" s="469">
        <f>Costo_Financiero</f>
        <v>0</v>
      </c>
      <c r="F118" s="470">
        <f>ROUND(F117*Costo_Financiero,2)</f>
        <v>0</v>
      </c>
    </row>
    <row r="119" spans="1:9" ht="20.100000000000001" customHeight="1" x14ac:dyDescent="0.25">
      <c r="A119" s="465" t="s">
        <v>1108</v>
      </c>
      <c r="B119" s="466" t="s">
        <v>1158</v>
      </c>
      <c r="C119" s="467"/>
      <c r="D119" s="468"/>
      <c r="E119" s="471"/>
      <c r="F119" s="470">
        <f>F117+F118</f>
        <v>0</v>
      </c>
    </row>
    <row r="120" spans="1:9" ht="20.100000000000001" customHeight="1" x14ac:dyDescent="0.25">
      <c r="A120" s="465" t="s">
        <v>1109</v>
      </c>
      <c r="B120" s="472" t="str">
        <f>CONCATENATE("GASTOS GENERALES  ",ROUND(Gastos_Generales*100,3)," % de ( 3 )")</f>
        <v>GASTOS GENERALES  10 % de ( 3 )</v>
      </c>
      <c r="C120" s="469">
        <f>Gastos_Generales</f>
        <v>0.1</v>
      </c>
      <c r="D120" s="473"/>
      <c r="E120" s="471"/>
      <c r="F120" s="470">
        <f>ROUND(F119*Gastos_Generales,2)</f>
        <v>0</v>
      </c>
    </row>
    <row r="121" spans="1:9" ht="20.100000000000001" customHeight="1" x14ac:dyDescent="0.25">
      <c r="A121" s="465" t="s">
        <v>1110</v>
      </c>
      <c r="B121" s="472" t="str">
        <f>CONCATENATE("BENEFICIOS  ",ROUND(Beneficio*100,2)," % de ( 3 )")</f>
        <v>BENEFICIOS  10 % de ( 3 )</v>
      </c>
      <c r="C121" s="469">
        <f>Beneficio</f>
        <v>0.1</v>
      </c>
      <c r="D121" s="473"/>
      <c r="E121" s="471"/>
      <c r="F121" s="470">
        <f>ROUND(F119*Beneficio,2)</f>
        <v>0</v>
      </c>
    </row>
    <row r="122" spans="1:9" ht="20.100000000000001" customHeight="1" x14ac:dyDescent="0.25">
      <c r="A122" s="465">
        <v>6</v>
      </c>
      <c r="B122" s="466" t="s">
        <v>1159</v>
      </c>
      <c r="C122" s="471"/>
      <c r="D122" s="473"/>
      <c r="E122" s="471"/>
      <c r="F122" s="470">
        <f>F119+F120+F121</f>
        <v>0</v>
      </c>
    </row>
    <row r="123" spans="1:9" ht="20.100000000000001" customHeight="1" x14ac:dyDescent="0.25">
      <c r="A123" s="465" t="s">
        <v>1160</v>
      </c>
      <c r="B123" s="472" t="str">
        <f>CONCATENATE("INGRESOS BRUTOS Y LOTE HOGAR  ",ROUND(Ingresos_Brutos*100,2)," % de ( 6 )")</f>
        <v>INGRESOS BRUTOS Y LOTE HOGAR  2,4 % de ( 6 )</v>
      </c>
      <c r="C123" s="469">
        <f>Ingresos_Brutos</f>
        <v>2.4E-2</v>
      </c>
      <c r="D123" s="473"/>
      <c r="E123" s="471"/>
      <c r="F123" s="470">
        <f>IF(Ingresos_Brutos=0,,ROUND(Ingresos_Brutos*F122,2))</f>
        <v>0</v>
      </c>
    </row>
    <row r="124" spans="1:9" ht="20.100000000000001" customHeight="1" x14ac:dyDescent="0.25">
      <c r="A124" s="474" t="s">
        <v>1161</v>
      </c>
      <c r="B124" s="475" t="str">
        <f>CONCATENATE("IMPUESTO AL VALOR AGREGADO ",IVA_Vivienda*100," % de ( 6 )")</f>
        <v>IMPUESTO AL VALOR AGREGADO 0,000000000001 % de ( 6 )</v>
      </c>
      <c r="C124" s="476">
        <f>IVA_Vivienda</f>
        <v>1E-14</v>
      </c>
      <c r="D124" s="477"/>
      <c r="E124" s="478"/>
      <c r="F124" s="479">
        <f>IF(IVA_Vivienda=0,,ROUND(IVA_Vivienda*F122,2))</f>
        <v>0</v>
      </c>
    </row>
    <row r="125" spans="1:9" ht="20.100000000000001" customHeight="1" x14ac:dyDescent="0.25">
      <c r="A125" s="88"/>
      <c r="B125" s="83"/>
      <c r="C125" s="83"/>
      <c r="D125" s="84"/>
      <c r="E125" s="85"/>
      <c r="F125" s="2"/>
    </row>
    <row r="126" spans="1:9" ht="20.100000000000001" customHeight="1" x14ac:dyDescent="0.25">
      <c r="A126" s="480"/>
      <c r="B126" s="481" t="str">
        <f>"PRECIO TOTAL VIVENDA"</f>
        <v>PRECIO TOTAL VIVENDA</v>
      </c>
      <c r="C126" s="481"/>
      <c r="D126" s="482"/>
      <c r="E126" s="480"/>
      <c r="F126" s="483">
        <f>SUM(F6:F115)</f>
        <v>0</v>
      </c>
      <c r="H126" s="133"/>
    </row>
    <row r="127" spans="1:9" ht="20.100000000000001" customHeight="1" x14ac:dyDescent="0.25">
      <c r="H127" s="499"/>
    </row>
    <row r="128" spans="1:9" ht="20.100000000000001" customHeight="1" x14ac:dyDescent="0.3">
      <c r="F128" s="492"/>
      <c r="H128" s="133"/>
    </row>
    <row r="130" spans="6:6" ht="20.100000000000001" customHeight="1" x14ac:dyDescent="0.25">
      <c r="F130" s="490"/>
    </row>
  </sheetData>
  <sheetProtection formatCells="0" selectLockedCells="1"/>
  <mergeCells count="7">
    <mergeCell ref="A1:F1"/>
    <mergeCell ref="A7:A8"/>
    <mergeCell ref="B7:B8"/>
    <mergeCell ref="C7:C8"/>
    <mergeCell ref="D7:D8"/>
    <mergeCell ref="E7:E8"/>
    <mergeCell ref="F7:F8"/>
  </mergeCells>
  <phoneticPr fontId="10" type="noConversion"/>
  <conditionalFormatting sqref="A11:A30 B10:B30 A31:B115">
    <cfRule type="expression" dxfId="158" priority="37">
      <formula>$C10=0</formula>
    </cfRule>
  </conditionalFormatting>
  <conditionalFormatting sqref="A10">
    <cfRule type="expression" dxfId="157" priority="35" stopIfTrue="1">
      <formula>$C10=0</formula>
    </cfRule>
  </conditionalFormatting>
  <conditionalFormatting sqref="F117">
    <cfRule type="expression" dxfId="156" priority="9" stopIfTrue="1">
      <formula>#REF!=1</formula>
    </cfRule>
  </conditionalFormatting>
  <conditionalFormatting sqref="B116">
    <cfRule type="expression" dxfId="155" priority="31" stopIfTrue="1">
      <formula>$C116=0</formula>
    </cfRule>
  </conditionalFormatting>
  <conditionalFormatting sqref="A116">
    <cfRule type="expression" dxfId="154" priority="30" stopIfTrue="1">
      <formula>$C116=0</formula>
    </cfRule>
  </conditionalFormatting>
  <conditionalFormatting sqref="A48:A49">
    <cfRule type="expression" dxfId="153" priority="3">
      <formula>$C48=0</formula>
    </cfRule>
  </conditionalFormatting>
  <conditionalFormatting sqref="A48:A49">
    <cfRule type="expression" dxfId="152" priority="2" stopIfTrue="1">
      <formula>$C48=0</formula>
    </cfRule>
  </conditionalFormatting>
  <conditionalFormatting sqref="A48:A49">
    <cfRule type="expression" dxfId="151" priority="1" stopIfTrue="1">
      <formula>$C48=0</formula>
    </cfRule>
  </conditionalFormatting>
  <pageMargins left="0.59055118110236227" right="0.19685039370078741" top="0.78740157480314965" bottom="0.39370078740157483" header="0.19685039370078741" footer="0.19685039370078741"/>
  <pageSetup paperSize="9" scale="56" fitToHeight="0"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2"/>
  <sheetViews>
    <sheetView workbookViewId="0">
      <selection activeCell="E4" sqref="E4"/>
    </sheetView>
  </sheetViews>
  <sheetFormatPr baseColWidth="10" defaultRowHeight="13.2" x14ac:dyDescent="0.25"/>
  <cols>
    <col min="1" max="1" width="18.44140625" customWidth="1"/>
    <col min="2" max="2" width="82" customWidth="1"/>
    <col min="3" max="3" width="13.6640625" customWidth="1"/>
    <col min="4" max="4" width="13.44140625" customWidth="1"/>
    <col min="5" max="5" width="17" customWidth="1"/>
    <col min="6" max="6" width="16.109375" customWidth="1"/>
    <col min="7" max="7" width="11.44140625" customWidth="1"/>
    <col min="8" max="8" width="12.88671875" bestFit="1" customWidth="1"/>
    <col min="15" max="15" width="52.5546875" customWidth="1"/>
  </cols>
  <sheetData>
    <row r="1" spans="1:8" ht="20.100000000000001" customHeight="1" x14ac:dyDescent="0.25">
      <c r="A1" s="587" t="s">
        <v>1256</v>
      </c>
      <c r="B1" s="587"/>
      <c r="C1" s="587"/>
      <c r="D1" s="587"/>
      <c r="E1" s="587"/>
      <c r="F1" s="587"/>
    </row>
    <row r="2" spans="1:8" ht="20.100000000000001" customHeight="1" x14ac:dyDescent="0.25">
      <c r="A2" s="94" t="s">
        <v>1230</v>
      </c>
      <c r="B2" s="93" t="str">
        <f>Obra</f>
        <v>LA NAVE - 103 DEPARTAMENTOS - CAPITAL</v>
      </c>
      <c r="C2" s="150"/>
      <c r="D2" s="95"/>
      <c r="E2" s="95"/>
      <c r="F2" s="95"/>
    </row>
    <row r="3" spans="1:8" ht="20.100000000000001" customHeight="1" x14ac:dyDescent="0.25">
      <c r="A3" s="94" t="s">
        <v>1231</v>
      </c>
      <c r="B3" s="93" t="str">
        <f>Ubicación</f>
        <v>CAPITAL</v>
      </c>
      <c r="C3" s="95"/>
      <c r="D3" s="95"/>
      <c r="E3" s="95"/>
      <c r="F3" s="95"/>
    </row>
    <row r="4" spans="1:8" ht="20.100000000000001" customHeight="1" x14ac:dyDescent="0.25">
      <c r="A4" s="94" t="s">
        <v>1127</v>
      </c>
      <c r="B4" s="98" t="s">
        <v>1268</v>
      </c>
      <c r="C4" s="94"/>
      <c r="D4" s="95"/>
      <c r="E4" s="95"/>
      <c r="F4" s="95"/>
    </row>
    <row r="5" spans="1:8" ht="20.100000000000001" customHeight="1" x14ac:dyDescent="0.25">
      <c r="A5" s="94" t="s">
        <v>1156</v>
      </c>
      <c r="B5" s="578">
        <v>4</v>
      </c>
      <c r="C5" s="94"/>
      <c r="D5" s="95"/>
      <c r="E5" s="95"/>
      <c r="F5" s="95"/>
    </row>
    <row r="6" spans="1:8" ht="20.100000000000001" customHeight="1" x14ac:dyDescent="0.25">
      <c r="A6" s="132"/>
      <c r="B6" s="135"/>
      <c r="C6" s="132"/>
      <c r="D6" s="132"/>
      <c r="E6" s="132"/>
      <c r="F6" s="132"/>
    </row>
    <row r="7" spans="1:8" ht="20.100000000000001" customHeight="1" x14ac:dyDescent="0.25">
      <c r="A7" s="588" t="s">
        <v>1105</v>
      </c>
      <c r="B7" s="590" t="s">
        <v>0</v>
      </c>
      <c r="C7" s="588" t="s">
        <v>1</v>
      </c>
      <c r="D7" s="588" t="s">
        <v>2</v>
      </c>
      <c r="E7" s="588" t="s">
        <v>1148</v>
      </c>
      <c r="F7" s="588" t="s">
        <v>1157</v>
      </c>
    </row>
    <row r="8" spans="1:8" ht="20.100000000000001" customHeight="1" x14ac:dyDescent="0.25">
      <c r="A8" s="589"/>
      <c r="B8" s="591"/>
      <c r="C8" s="589"/>
      <c r="D8" s="589"/>
      <c r="E8" s="589"/>
      <c r="F8" s="589"/>
    </row>
    <row r="9" spans="1:8" ht="20.100000000000001" customHeight="1" x14ac:dyDescent="0.25">
      <c r="A9" s="198"/>
      <c r="B9" s="136"/>
      <c r="C9" s="140"/>
      <c r="D9" s="140"/>
      <c r="E9" s="200"/>
      <c r="F9" s="201"/>
    </row>
    <row r="10" spans="1:8" ht="20.100000000000001" customHeight="1" x14ac:dyDescent="0.25">
      <c r="A10" s="223" t="s">
        <v>1124</v>
      </c>
      <c r="B10" s="224" t="str">
        <f t="shared" ref="B10:B51" si="0">IFERROR(VLOOKUP(A10,Tabla_Datos,2,FALSE),0)</f>
        <v>DEPARTAMENTOS</v>
      </c>
      <c r="C10" s="225">
        <f t="shared" ref="C10:C51" si="1">IFERROR(VLOOKUP(A10,Tabla_Datos,3,FALSE),0)</f>
        <v>0</v>
      </c>
      <c r="D10" s="226"/>
      <c r="E10" s="227">
        <f t="shared" ref="E10:E51" si="2">IFERROR(VLOOKUP(A10,Tabla_Comp_Presup,7,FALSE),0)</f>
        <v>0</v>
      </c>
      <c r="F10" s="227">
        <f t="shared" ref="F10:F51" si="3">ROUND(D10*E10,15)</f>
        <v>0</v>
      </c>
    </row>
    <row r="11" spans="1:8" ht="20.100000000000001" customHeight="1" x14ac:dyDescent="0.25">
      <c r="A11" s="484">
        <v>1</v>
      </c>
      <c r="B11" s="454" t="str">
        <f t="shared" si="0"/>
        <v xml:space="preserve">TRABAJOS PRELIMINARES </v>
      </c>
      <c r="C11" s="455">
        <f t="shared" si="1"/>
        <v>0</v>
      </c>
      <c r="D11" s="485"/>
      <c r="E11" s="487">
        <f>IFERROR(VLOOKUP(A11,Tabla_Comp_Presup,7,FALSE),0)</f>
        <v>0</v>
      </c>
      <c r="F11" s="487">
        <f>ROUND(D11*E11,15)</f>
        <v>0</v>
      </c>
    </row>
    <row r="12" spans="1:8" ht="20.100000000000001" customHeight="1" x14ac:dyDescent="0.25">
      <c r="A12" s="484" t="s">
        <v>1281</v>
      </c>
      <c r="B12" s="454" t="str">
        <f t="shared" si="0"/>
        <v>Limpieza general, incluye desmalezamiento, demolición de construcciones existentes</v>
      </c>
      <c r="C12" s="455" t="str">
        <f t="shared" si="1"/>
        <v>m2</v>
      </c>
      <c r="D12" s="485">
        <v>93.88</v>
      </c>
      <c r="E12" s="487">
        <f t="shared" si="2"/>
        <v>0</v>
      </c>
      <c r="F12" s="487">
        <f t="shared" si="3"/>
        <v>0</v>
      </c>
    </row>
    <row r="13" spans="1:8" ht="20.100000000000001" customHeight="1" x14ac:dyDescent="0.25">
      <c r="A13" s="484">
        <v>2</v>
      </c>
      <c r="B13" s="454" t="str">
        <f t="shared" si="0"/>
        <v>MOVIMIENTO DE SUELOS</v>
      </c>
      <c r="C13" s="455">
        <f t="shared" si="1"/>
        <v>0</v>
      </c>
      <c r="D13" s="485"/>
      <c r="E13" s="487">
        <f t="shared" si="2"/>
        <v>0</v>
      </c>
      <c r="F13" s="487">
        <f t="shared" si="3"/>
        <v>0</v>
      </c>
      <c r="H13" s="489"/>
    </row>
    <row r="14" spans="1:8" ht="20.100000000000001" customHeight="1" x14ac:dyDescent="0.25">
      <c r="A14" s="484" t="s">
        <v>1282</v>
      </c>
      <c r="B14" s="454" t="str">
        <f t="shared" si="0"/>
        <v>Excavación para fundaciones</v>
      </c>
      <c r="C14" s="455" t="str">
        <f t="shared" si="1"/>
        <v>m3</v>
      </c>
      <c r="D14" s="485">
        <v>12.53</v>
      </c>
      <c r="E14" s="487">
        <f t="shared" si="2"/>
        <v>0</v>
      </c>
      <c r="F14" s="487">
        <f t="shared" si="3"/>
        <v>0</v>
      </c>
    </row>
    <row r="15" spans="1:8" ht="20.100000000000001" customHeight="1" x14ac:dyDescent="0.25">
      <c r="A15" s="484" t="s">
        <v>1336</v>
      </c>
      <c r="B15" s="454" t="str">
        <f t="shared" si="0"/>
        <v>Excavacion de Subsuelo</v>
      </c>
      <c r="C15" s="455" t="str">
        <f t="shared" si="1"/>
        <v>m3</v>
      </c>
      <c r="D15" s="485">
        <v>110.78</v>
      </c>
      <c r="E15" s="487">
        <f t="shared" si="2"/>
        <v>0</v>
      </c>
      <c r="F15" s="487">
        <f t="shared" si="3"/>
        <v>0</v>
      </c>
    </row>
    <row r="16" spans="1:8" ht="20.100000000000001" customHeight="1" x14ac:dyDescent="0.25">
      <c r="A16" s="484">
        <v>3</v>
      </c>
      <c r="B16" s="454" t="str">
        <f t="shared" si="0"/>
        <v>FUNDACIONES</v>
      </c>
      <c r="C16" s="455">
        <f t="shared" si="1"/>
        <v>0</v>
      </c>
      <c r="D16" s="485"/>
      <c r="E16" s="487">
        <f t="shared" si="2"/>
        <v>0</v>
      </c>
      <c r="F16" s="487">
        <f t="shared" si="3"/>
        <v>0</v>
      </c>
    </row>
    <row r="17" spans="1:6" ht="20.100000000000001" customHeight="1" x14ac:dyDescent="0.25">
      <c r="A17" s="484" t="s">
        <v>1298</v>
      </c>
      <c r="B17" s="454" t="str">
        <f t="shared" si="0"/>
        <v>Hº - Bases aisladas y vigas de arriostramiento</v>
      </c>
      <c r="C17" s="455" t="str">
        <f t="shared" si="1"/>
        <v>m3</v>
      </c>
      <c r="D17" s="485">
        <v>11.99</v>
      </c>
      <c r="E17" s="487">
        <f t="shared" si="2"/>
        <v>0</v>
      </c>
      <c r="F17" s="487">
        <f t="shared" si="3"/>
        <v>0</v>
      </c>
    </row>
    <row r="18" spans="1:6" ht="20.100000000000001" customHeight="1" x14ac:dyDescent="0.25">
      <c r="A18" s="484" t="s">
        <v>1299</v>
      </c>
      <c r="B18" s="454" t="str">
        <f t="shared" si="0"/>
        <v>Aº - Bases aisladas y vigas de arriostramiento</v>
      </c>
      <c r="C18" s="455" t="str">
        <f t="shared" si="1"/>
        <v>kg</v>
      </c>
      <c r="D18" s="485">
        <v>908.57</v>
      </c>
      <c r="E18" s="487">
        <f t="shared" si="2"/>
        <v>0</v>
      </c>
      <c r="F18" s="487">
        <f t="shared" si="3"/>
        <v>0</v>
      </c>
    </row>
    <row r="19" spans="1:6" ht="20.100000000000001" customHeight="1" x14ac:dyDescent="0.25">
      <c r="A19" s="484">
        <v>4</v>
      </c>
      <c r="B19" s="454" t="str">
        <f t="shared" si="0"/>
        <v>ESTRUCTURA RESISTENTE</v>
      </c>
      <c r="C19" s="455">
        <f t="shared" si="1"/>
        <v>0</v>
      </c>
      <c r="D19" s="485"/>
      <c r="E19" s="487">
        <f t="shared" si="2"/>
        <v>0</v>
      </c>
      <c r="F19" s="487">
        <f t="shared" si="3"/>
        <v>0</v>
      </c>
    </row>
    <row r="20" spans="1:6" ht="20.100000000000001" customHeight="1" x14ac:dyDescent="0.25">
      <c r="A20" s="484" t="s">
        <v>1300</v>
      </c>
      <c r="B20" s="454" t="str">
        <f t="shared" si="0"/>
        <v>Replanteo y niveles</v>
      </c>
      <c r="C20" s="455" t="str">
        <f t="shared" si="1"/>
        <v>gl</v>
      </c>
      <c r="D20" s="485">
        <v>4.08163E-2</v>
      </c>
      <c r="E20" s="487">
        <f t="shared" si="2"/>
        <v>0</v>
      </c>
      <c r="F20" s="487">
        <f t="shared" si="3"/>
        <v>0</v>
      </c>
    </row>
    <row r="21" spans="1:6" ht="20.100000000000001" customHeight="1" x14ac:dyDescent="0.25">
      <c r="A21" s="484" t="s">
        <v>1301</v>
      </c>
      <c r="B21" s="454" t="str">
        <f t="shared" si="0"/>
        <v>Hormigon para Losas H-21</v>
      </c>
      <c r="C21" s="455" t="str">
        <f t="shared" si="1"/>
        <v>m3</v>
      </c>
      <c r="D21" s="485">
        <v>21.58</v>
      </c>
      <c r="E21" s="487">
        <f t="shared" si="2"/>
        <v>0</v>
      </c>
      <c r="F21" s="487">
        <f t="shared" si="3"/>
        <v>0</v>
      </c>
    </row>
    <row r="22" spans="1:6" ht="20.100000000000001" customHeight="1" x14ac:dyDescent="0.25">
      <c r="A22" s="484" t="s">
        <v>1302</v>
      </c>
      <c r="B22" s="454" t="str">
        <f t="shared" si="0"/>
        <v>Hormigon resistente H-30</v>
      </c>
      <c r="C22" s="455" t="str">
        <f t="shared" si="1"/>
        <v>m3</v>
      </c>
      <c r="D22" s="485">
        <v>48.3</v>
      </c>
      <c r="E22" s="487">
        <f t="shared" si="2"/>
        <v>0</v>
      </c>
      <c r="F22" s="487">
        <f t="shared" si="3"/>
        <v>0</v>
      </c>
    </row>
    <row r="23" spans="1:6" ht="20.100000000000001" customHeight="1" x14ac:dyDescent="0.25">
      <c r="A23" s="484" t="s">
        <v>1303</v>
      </c>
      <c r="B23" s="454" t="str">
        <f t="shared" si="0"/>
        <v>Hormigon para encadenados H-17</v>
      </c>
      <c r="C23" s="455" t="str">
        <f t="shared" si="1"/>
        <v>m3</v>
      </c>
      <c r="D23" s="485">
        <v>1.02</v>
      </c>
      <c r="E23" s="487">
        <f t="shared" si="2"/>
        <v>0</v>
      </c>
      <c r="F23" s="487">
        <f t="shared" si="3"/>
        <v>0</v>
      </c>
    </row>
    <row r="24" spans="1:6" ht="20.100000000000001" customHeight="1" x14ac:dyDescent="0.25">
      <c r="A24" s="484" t="s">
        <v>1510</v>
      </c>
      <c r="B24" s="454" t="str">
        <f t="shared" ref="B24:B30" si="4">IFERROR(VLOOKUP(A24,Tabla_Datos,2,FALSE),0)</f>
        <v>Hormigon para escaleras exteriores</v>
      </c>
      <c r="C24" s="455" t="str">
        <f t="shared" ref="C24:C30" si="5">IFERROR(VLOOKUP(A24,Tabla_Datos,3,FALSE),0)</f>
        <v>m3</v>
      </c>
      <c r="D24" s="485">
        <v>0.25</v>
      </c>
      <c r="E24" s="487">
        <f t="shared" ref="E24:E30" si="6">IFERROR(VLOOKUP(A24,Tabla_Comp_Presup,7,FALSE),0)</f>
        <v>0</v>
      </c>
      <c r="F24" s="487">
        <f t="shared" ref="F24:F30" si="7">ROUND(D24*E24,15)</f>
        <v>0</v>
      </c>
    </row>
    <row r="25" spans="1:6" ht="20.100000000000001" customHeight="1" x14ac:dyDescent="0.25">
      <c r="A25" s="484" t="s">
        <v>1511</v>
      </c>
      <c r="B25" s="454" t="str">
        <f t="shared" si="4"/>
        <v>Acero para losas</v>
      </c>
      <c r="C25" s="455" t="str">
        <f t="shared" si="5"/>
        <v>kg</v>
      </c>
      <c r="D25" s="485">
        <v>887.67</v>
      </c>
      <c r="E25" s="487">
        <f t="shared" si="6"/>
        <v>0</v>
      </c>
      <c r="F25" s="487">
        <f t="shared" si="7"/>
        <v>0</v>
      </c>
    </row>
    <row r="26" spans="1:6" ht="20.100000000000001" customHeight="1" x14ac:dyDescent="0.25">
      <c r="A26" s="484" t="s">
        <v>1512</v>
      </c>
      <c r="B26" s="454" t="str">
        <f t="shared" si="4"/>
        <v>Acero para vigas</v>
      </c>
      <c r="C26" s="455" t="str">
        <f t="shared" si="5"/>
        <v>kg</v>
      </c>
      <c r="D26" s="485">
        <v>5366.96</v>
      </c>
      <c r="E26" s="487">
        <f t="shared" si="6"/>
        <v>0</v>
      </c>
      <c r="F26" s="487">
        <f t="shared" si="7"/>
        <v>0</v>
      </c>
    </row>
    <row r="27" spans="1:6" ht="20.100000000000001" customHeight="1" x14ac:dyDescent="0.25">
      <c r="A27" s="484" t="s">
        <v>1513</v>
      </c>
      <c r="B27" s="454" t="str">
        <f t="shared" si="4"/>
        <v>Acero para columnas</v>
      </c>
      <c r="C27" s="455" t="str">
        <f t="shared" si="5"/>
        <v>kg</v>
      </c>
      <c r="D27" s="485">
        <v>2025.04</v>
      </c>
      <c r="E27" s="487">
        <f t="shared" si="6"/>
        <v>0</v>
      </c>
      <c r="F27" s="487">
        <f t="shared" si="7"/>
        <v>0</v>
      </c>
    </row>
    <row r="28" spans="1:6" ht="20.100000000000001" customHeight="1" x14ac:dyDescent="0.25">
      <c r="A28" s="484" t="s">
        <v>1514</v>
      </c>
      <c r="B28" s="454" t="str">
        <f t="shared" si="4"/>
        <v>Acero para escaleras exteriores</v>
      </c>
      <c r="C28" s="455" t="str">
        <f t="shared" si="5"/>
        <v>kg</v>
      </c>
      <c r="D28" s="485">
        <v>50.02</v>
      </c>
      <c r="E28" s="487">
        <f t="shared" si="6"/>
        <v>0</v>
      </c>
      <c r="F28" s="487">
        <f t="shared" si="7"/>
        <v>0</v>
      </c>
    </row>
    <row r="29" spans="1:6" ht="20.100000000000001" customHeight="1" x14ac:dyDescent="0.25">
      <c r="A29" s="484" t="s">
        <v>1515</v>
      </c>
      <c r="B29" s="454" t="str">
        <f t="shared" si="4"/>
        <v>estructura metalica de espacios comunes y chapa exterior</v>
      </c>
      <c r="C29" s="455" t="str">
        <f t="shared" si="5"/>
        <v>kg</v>
      </c>
      <c r="D29" s="485">
        <v>418.37</v>
      </c>
      <c r="E29" s="487">
        <f t="shared" si="6"/>
        <v>0</v>
      </c>
      <c r="F29" s="487">
        <f t="shared" si="7"/>
        <v>0</v>
      </c>
    </row>
    <row r="30" spans="1:6" ht="20.100000000000001" customHeight="1" x14ac:dyDescent="0.25">
      <c r="A30" s="484" t="s">
        <v>1516</v>
      </c>
      <c r="B30" s="454" t="str">
        <f t="shared" si="4"/>
        <v>chapa lisa en gabinetes</v>
      </c>
      <c r="C30" s="455" t="str">
        <f t="shared" si="5"/>
        <v>kg</v>
      </c>
      <c r="D30" s="485">
        <v>4.49</v>
      </c>
      <c r="E30" s="487">
        <f t="shared" si="6"/>
        <v>0</v>
      </c>
      <c r="F30" s="487">
        <f t="shared" si="7"/>
        <v>0</v>
      </c>
    </row>
    <row r="31" spans="1:6" ht="20.100000000000001" customHeight="1" x14ac:dyDescent="0.25">
      <c r="A31" s="484" t="s">
        <v>1519</v>
      </c>
      <c r="B31" s="454" t="str">
        <f t="shared" ref="B31" si="8">IFERROR(VLOOKUP(A31,Tabla_Datos,2,FALSE),0)</f>
        <v xml:space="preserve">chapa micro perforada </v>
      </c>
      <c r="C31" s="455" t="str">
        <f t="shared" ref="C31" si="9">IFERROR(VLOOKUP(A31,Tabla_Datos,3,FALSE),0)</f>
        <v>kg</v>
      </c>
      <c r="D31" s="485">
        <v>44.9</v>
      </c>
      <c r="E31" s="487">
        <f t="shared" ref="E31" si="10">IFERROR(VLOOKUP(A31,Tabla_Comp_Presup,7,FALSE),0)</f>
        <v>0</v>
      </c>
      <c r="F31" s="487">
        <f t="shared" ref="F31" si="11">ROUND(D31*E31,15)</f>
        <v>0</v>
      </c>
    </row>
    <row r="32" spans="1:6" ht="20.100000000000001" customHeight="1" x14ac:dyDescent="0.25">
      <c r="A32" s="484">
        <v>5</v>
      </c>
      <c r="B32" s="454" t="str">
        <f t="shared" si="0"/>
        <v>ALBAÑILERÍA | CERRAMIENTOS VERTICALES</v>
      </c>
      <c r="C32" s="455">
        <f t="shared" si="1"/>
        <v>0</v>
      </c>
      <c r="D32" s="485"/>
      <c r="E32" s="487">
        <f t="shared" si="2"/>
        <v>0</v>
      </c>
      <c r="F32" s="487">
        <f t="shared" si="3"/>
        <v>0</v>
      </c>
    </row>
    <row r="33" spans="1:8" ht="20.100000000000001" customHeight="1" x14ac:dyDescent="0.25">
      <c r="A33" s="484" t="s">
        <v>1304</v>
      </c>
      <c r="B33" s="454" t="str">
        <f t="shared" si="0"/>
        <v>Mampostería interior - Tabique Liviano</v>
      </c>
      <c r="C33" s="455" t="str">
        <f t="shared" si="1"/>
        <v>m2</v>
      </c>
      <c r="D33" s="485">
        <v>39.14</v>
      </c>
      <c r="E33" s="487">
        <f t="shared" si="2"/>
        <v>0</v>
      </c>
      <c r="F33" s="487">
        <f t="shared" si="3"/>
        <v>0</v>
      </c>
    </row>
    <row r="34" spans="1:8" ht="20.100000000000001" customHeight="1" x14ac:dyDescent="0.25">
      <c r="A34" s="484" t="s">
        <v>1305</v>
      </c>
      <c r="B34" s="454" t="str">
        <f t="shared" si="0"/>
        <v>Mampostería exterior -  Muro de ladrillo ceramico hueco</v>
      </c>
      <c r="C34" s="455" t="str">
        <f t="shared" si="1"/>
        <v>m2</v>
      </c>
      <c r="D34" s="485">
        <v>68.64</v>
      </c>
      <c r="E34" s="487">
        <f t="shared" si="2"/>
        <v>0</v>
      </c>
      <c r="F34" s="487">
        <f t="shared" si="3"/>
        <v>0</v>
      </c>
    </row>
    <row r="35" spans="1:8" ht="20.100000000000001" customHeight="1" x14ac:dyDescent="0.25">
      <c r="A35" s="484">
        <v>6</v>
      </c>
      <c r="B35" s="454" t="str">
        <f t="shared" si="0"/>
        <v>AISLACIONES Y REVOQUES</v>
      </c>
      <c r="C35" s="455">
        <f t="shared" si="1"/>
        <v>0</v>
      </c>
      <c r="D35" s="485"/>
      <c r="E35" s="487">
        <f t="shared" si="2"/>
        <v>0</v>
      </c>
      <c r="F35" s="487">
        <f t="shared" si="3"/>
        <v>0</v>
      </c>
    </row>
    <row r="36" spans="1:8" ht="20.100000000000001" customHeight="1" x14ac:dyDescent="0.25">
      <c r="A36" s="484" t="s">
        <v>1306</v>
      </c>
      <c r="B36" s="454" t="str">
        <f t="shared" si="0"/>
        <v>Aislación hidrófuga horizontal en muros PB (cajón)</v>
      </c>
      <c r="C36" s="455" t="str">
        <f t="shared" si="1"/>
        <v>m2</v>
      </c>
      <c r="D36" s="485">
        <v>6.17</v>
      </c>
      <c r="E36" s="487">
        <f t="shared" si="2"/>
        <v>0</v>
      </c>
      <c r="F36" s="487">
        <f t="shared" si="3"/>
        <v>0</v>
      </c>
    </row>
    <row r="37" spans="1:8" ht="20.100000000000001" customHeight="1" x14ac:dyDescent="0.25">
      <c r="A37" s="484" t="s">
        <v>1307</v>
      </c>
      <c r="B37" s="454" t="str">
        <f>IFERROR(VLOOKUP(A37,Tabla_Datos,2,FALSE),0)</f>
        <v>Revoque grueso bajo revestimiento en locales húmedos</v>
      </c>
      <c r="C37" s="455" t="str">
        <f>IFERROR(VLOOKUP(A37,Tabla_Datos,3,FALSE),0)</f>
        <v>m2</v>
      </c>
      <c r="D37" s="485">
        <v>4.7140000000000004</v>
      </c>
      <c r="E37" s="487">
        <f>IFERROR(VLOOKUP(A37,Tabla_Comp_Presup,7,FALSE),0)</f>
        <v>0</v>
      </c>
      <c r="F37" s="487">
        <f>ROUND(D37*E37,15)</f>
        <v>0</v>
      </c>
    </row>
    <row r="38" spans="1:8" ht="19.5" customHeight="1" x14ac:dyDescent="0.25">
      <c r="A38" s="484" t="s">
        <v>1308</v>
      </c>
      <c r="B38" s="454" t="str">
        <f t="shared" si="0"/>
        <v xml:space="preserve">Revoque  y enlucido interior </v>
      </c>
      <c r="C38" s="455" t="str">
        <f t="shared" si="1"/>
        <v>m2</v>
      </c>
      <c r="D38" s="485">
        <v>81.757800000000003</v>
      </c>
      <c r="E38" s="487">
        <f t="shared" si="2"/>
        <v>0</v>
      </c>
      <c r="F38" s="487">
        <f t="shared" si="3"/>
        <v>0</v>
      </c>
    </row>
    <row r="39" spans="1:8" ht="19.5" customHeight="1" x14ac:dyDescent="0.25">
      <c r="A39" s="484" t="s">
        <v>1309</v>
      </c>
      <c r="B39" s="454" t="str">
        <f>IFERROR(VLOOKUP(A39,Tabla_Datos,2,FALSE),0)</f>
        <v>Revoque exterior</v>
      </c>
      <c r="C39" s="455" t="str">
        <f>IFERROR(VLOOKUP(A39,Tabla_Datos,3,FALSE),0)</f>
        <v>m2</v>
      </c>
      <c r="D39" s="485">
        <v>63.398000000000003</v>
      </c>
      <c r="E39" s="487">
        <f>IFERROR(VLOOKUP(A39,Tabla_Comp_Presup,7,FALSE),0)</f>
        <v>0</v>
      </c>
      <c r="F39" s="487">
        <f>ROUND(D39*E39,15)</f>
        <v>0</v>
      </c>
      <c r="H39" s="495"/>
    </row>
    <row r="40" spans="1:8" ht="20.100000000000001" customHeight="1" x14ac:dyDescent="0.25">
      <c r="A40" s="484">
        <v>7</v>
      </c>
      <c r="B40" s="454" t="str">
        <f t="shared" si="0"/>
        <v>REVESTIMIENTOS</v>
      </c>
      <c r="C40" s="455">
        <f t="shared" si="1"/>
        <v>0</v>
      </c>
      <c r="D40" s="485"/>
      <c r="E40" s="487">
        <f t="shared" si="2"/>
        <v>0</v>
      </c>
      <c r="F40" s="487">
        <f t="shared" si="3"/>
        <v>0</v>
      </c>
    </row>
    <row r="41" spans="1:8" ht="20.100000000000001" customHeight="1" x14ac:dyDescent="0.25">
      <c r="A41" s="484" t="s">
        <v>1310</v>
      </c>
      <c r="B41" s="454" t="str">
        <f t="shared" si="0"/>
        <v>Cerámico Cocina y baño</v>
      </c>
      <c r="C41" s="455" t="str">
        <f t="shared" si="1"/>
        <v>m2</v>
      </c>
      <c r="D41" s="485">
        <v>21.76</v>
      </c>
      <c r="E41" s="487">
        <f t="shared" si="2"/>
        <v>0</v>
      </c>
      <c r="F41" s="487">
        <f t="shared" si="3"/>
        <v>0</v>
      </c>
    </row>
    <row r="42" spans="1:8" ht="20.100000000000001" customHeight="1" x14ac:dyDescent="0.25">
      <c r="A42" s="484">
        <v>8</v>
      </c>
      <c r="B42" s="454" t="str">
        <f t="shared" si="0"/>
        <v>PINTURA</v>
      </c>
      <c r="C42" s="455">
        <f t="shared" si="1"/>
        <v>0</v>
      </c>
      <c r="D42" s="485"/>
      <c r="E42" s="487">
        <f t="shared" si="2"/>
        <v>0</v>
      </c>
      <c r="F42" s="487">
        <f t="shared" si="3"/>
        <v>0</v>
      </c>
    </row>
    <row r="43" spans="1:8" ht="20.100000000000001" customHeight="1" x14ac:dyDescent="0.25">
      <c r="A43" s="484" t="s">
        <v>1311</v>
      </c>
      <c r="B43" s="454" t="str">
        <f t="shared" si="0"/>
        <v>Pintura al látex en muros</v>
      </c>
      <c r="C43" s="455" t="str">
        <f t="shared" si="1"/>
        <v>m2</v>
      </c>
      <c r="D43" s="485">
        <v>160.03</v>
      </c>
      <c r="E43" s="487">
        <f t="shared" si="2"/>
        <v>0</v>
      </c>
      <c r="F43" s="487">
        <f t="shared" si="3"/>
        <v>0</v>
      </c>
    </row>
    <row r="44" spans="1:8" ht="20.100000000000001" customHeight="1" x14ac:dyDescent="0.25">
      <c r="A44" s="484" t="s">
        <v>1312</v>
      </c>
      <c r="B44" s="454" t="str">
        <f t="shared" si="0"/>
        <v>Pintura al látex en cielorrasos</v>
      </c>
      <c r="C44" s="455" t="str">
        <f t="shared" si="1"/>
        <v>m2</v>
      </c>
      <c r="D44" s="485">
        <v>85.67</v>
      </c>
      <c r="E44" s="487">
        <f t="shared" si="2"/>
        <v>0</v>
      </c>
      <c r="F44" s="487">
        <f t="shared" si="3"/>
        <v>0</v>
      </c>
    </row>
    <row r="45" spans="1:8" ht="20.100000000000001" customHeight="1" x14ac:dyDescent="0.25">
      <c r="A45" s="484" t="s">
        <v>1313</v>
      </c>
      <c r="B45" s="454" t="str">
        <f t="shared" si="0"/>
        <v xml:space="preserve">Pintura látex antihongos                                                                                                                                                                   </v>
      </c>
      <c r="C45" s="455" t="str">
        <f t="shared" si="1"/>
        <v>m2</v>
      </c>
      <c r="D45" s="485">
        <v>3.87</v>
      </c>
      <c r="E45" s="487">
        <f t="shared" si="2"/>
        <v>0</v>
      </c>
      <c r="F45" s="487">
        <f t="shared" si="3"/>
        <v>0</v>
      </c>
    </row>
    <row r="46" spans="1:8" ht="20.100000000000001" customHeight="1" x14ac:dyDescent="0.25">
      <c r="A46" s="484" t="s">
        <v>1314</v>
      </c>
      <c r="B46" s="454" t="str">
        <f t="shared" si="0"/>
        <v>Pintura al látex exterioren muros</v>
      </c>
      <c r="C46" s="455" t="str">
        <f t="shared" si="1"/>
        <v>m2</v>
      </c>
      <c r="D46" s="485">
        <v>63.36</v>
      </c>
      <c r="E46" s="487">
        <f t="shared" si="2"/>
        <v>0</v>
      </c>
      <c r="F46" s="487">
        <f t="shared" si="3"/>
        <v>0</v>
      </c>
    </row>
    <row r="47" spans="1:8" ht="20.100000000000001" customHeight="1" x14ac:dyDescent="0.25">
      <c r="A47" s="484" t="s">
        <v>1315</v>
      </c>
      <c r="B47" s="454" t="str">
        <f t="shared" si="0"/>
        <v>Pintura esmalte sintético carpinterías de chapa</v>
      </c>
      <c r="C47" s="455" t="str">
        <f t="shared" si="1"/>
        <v>gl</v>
      </c>
      <c r="D47" s="485">
        <v>1</v>
      </c>
      <c r="E47" s="487">
        <f t="shared" si="2"/>
        <v>0</v>
      </c>
      <c r="F47" s="487">
        <f t="shared" si="3"/>
        <v>0</v>
      </c>
    </row>
    <row r="48" spans="1:8" ht="20.100000000000001" customHeight="1" x14ac:dyDescent="0.25">
      <c r="A48" s="484" t="s">
        <v>1316</v>
      </c>
      <c r="B48" s="454" t="str">
        <f t="shared" si="0"/>
        <v>Pintura esmalte sintético carpinterías de madera</v>
      </c>
      <c r="C48" s="455" t="str">
        <f t="shared" si="1"/>
        <v>gl</v>
      </c>
      <c r="D48" s="485">
        <v>1</v>
      </c>
      <c r="E48" s="487">
        <f t="shared" si="2"/>
        <v>0</v>
      </c>
      <c r="F48" s="487">
        <f t="shared" si="3"/>
        <v>0</v>
      </c>
    </row>
    <row r="49" spans="1:8" ht="20.100000000000001" customHeight="1" x14ac:dyDescent="0.25">
      <c r="A49" s="484">
        <v>9</v>
      </c>
      <c r="B49" s="454" t="str">
        <f t="shared" si="0"/>
        <v>CONTRAPISOS y CARPETAS</v>
      </c>
      <c r="C49" s="455">
        <f t="shared" si="1"/>
        <v>0</v>
      </c>
      <c r="D49" s="485"/>
      <c r="E49" s="487">
        <f t="shared" si="2"/>
        <v>0</v>
      </c>
      <c r="F49" s="487">
        <f t="shared" si="3"/>
        <v>0</v>
      </c>
    </row>
    <row r="50" spans="1:8" ht="20.100000000000001" customHeight="1" x14ac:dyDescent="0.25">
      <c r="A50" s="484" t="s">
        <v>1328</v>
      </c>
      <c r="B50" s="454" t="str">
        <f t="shared" si="0"/>
        <v xml:space="preserve">Contrapiso sobre losa de HºPº esp= 8cm </v>
      </c>
      <c r="C50" s="455" t="str">
        <f t="shared" si="1"/>
        <v>m2</v>
      </c>
      <c r="D50" s="485">
        <v>137.35</v>
      </c>
      <c r="E50" s="487">
        <f t="shared" si="2"/>
        <v>0</v>
      </c>
      <c r="F50" s="487">
        <f t="shared" si="3"/>
        <v>0</v>
      </c>
      <c r="H50" s="504"/>
    </row>
    <row r="51" spans="1:8" ht="20.100000000000001" customHeight="1" x14ac:dyDescent="0.25">
      <c r="A51" s="484" t="s">
        <v>1329</v>
      </c>
      <c r="B51" s="454" t="str">
        <f t="shared" si="0"/>
        <v>Contrapiso para terrazas o azoteas con pendiente según documentación de Proyecto</v>
      </c>
      <c r="C51" s="455" t="str">
        <f t="shared" si="1"/>
        <v>m2</v>
      </c>
      <c r="D51" s="485">
        <v>4.59</v>
      </c>
      <c r="E51" s="487">
        <f t="shared" si="2"/>
        <v>0</v>
      </c>
      <c r="F51" s="487">
        <f t="shared" si="3"/>
        <v>0</v>
      </c>
      <c r="H51" s="504"/>
    </row>
    <row r="52" spans="1:8" ht="20.100000000000001" customHeight="1" x14ac:dyDescent="0.25">
      <c r="A52" s="484" t="s">
        <v>1330</v>
      </c>
      <c r="B52" s="454" t="str">
        <f t="shared" ref="B52:B53" si="12">IFERROR(VLOOKUP(A52,Tabla_Datos,2,FALSE),0)</f>
        <v>Banquina bajo mueble de cocina</v>
      </c>
      <c r="C52" s="455" t="str">
        <f t="shared" ref="C52:C53" si="13">IFERROR(VLOOKUP(A52,Tabla_Datos,3,FALSE),0)</f>
        <v>m2</v>
      </c>
      <c r="D52" s="485">
        <v>1.79</v>
      </c>
      <c r="E52" s="487">
        <f t="shared" ref="E52:E53" si="14">IFERROR(VLOOKUP(A52,Tabla_Comp_Presup,7,FALSE),0)</f>
        <v>0</v>
      </c>
      <c r="F52" s="487">
        <f>ROUND(D52*E52,15)</f>
        <v>0</v>
      </c>
      <c r="H52" s="504"/>
    </row>
    <row r="53" spans="1:8" ht="20.100000000000001" customHeight="1" x14ac:dyDescent="0.25">
      <c r="A53" s="484" t="s">
        <v>1331</v>
      </c>
      <c r="B53" s="454" t="str">
        <f t="shared" si="12"/>
        <v xml:space="preserve">Carpeta bajo ceramico </v>
      </c>
      <c r="C53" s="455" t="str">
        <f t="shared" si="13"/>
        <v>m2</v>
      </c>
      <c r="D53" s="485">
        <v>85.67</v>
      </c>
      <c r="E53" s="487">
        <f t="shared" si="14"/>
        <v>0</v>
      </c>
      <c r="F53" s="487">
        <f>ROUND(D53*E53,15)</f>
        <v>0</v>
      </c>
      <c r="H53" s="495"/>
    </row>
    <row r="54" spans="1:8" ht="20.100000000000001" customHeight="1" x14ac:dyDescent="0.25">
      <c r="A54" s="484">
        <v>10</v>
      </c>
      <c r="B54" s="454" t="str">
        <f t="shared" ref="B54:B110" si="15">IFERROR(VLOOKUP(A54,Tabla_Datos,2,FALSE),0)</f>
        <v xml:space="preserve">PISOS Y ZOCALOS </v>
      </c>
      <c r="C54" s="455">
        <f t="shared" ref="C54:C110" si="16">IFERROR(VLOOKUP(A54,Tabla_Datos,3,FALSE),0)</f>
        <v>0</v>
      </c>
      <c r="D54" s="485"/>
      <c r="E54" s="487">
        <f t="shared" ref="E54:E110" si="17">IFERROR(VLOOKUP(A54,Tabla_Comp_Presup,7,FALSE),0)</f>
        <v>0</v>
      </c>
      <c r="F54" s="487">
        <f t="shared" ref="F54:F110" si="18">ROUND(D54*E54,15)</f>
        <v>0</v>
      </c>
      <c r="H54" s="495"/>
    </row>
    <row r="55" spans="1:8" ht="20.100000000000001" customHeight="1" x14ac:dyDescent="0.25">
      <c r="A55" s="484" t="s">
        <v>1332</v>
      </c>
      <c r="B55" s="454" t="str">
        <f t="shared" si="15"/>
        <v>Piso ceramico de primera calidad</v>
      </c>
      <c r="C55" s="455" t="str">
        <f t="shared" si="16"/>
        <v>m2</v>
      </c>
      <c r="D55" s="485">
        <v>85.676500000000004</v>
      </c>
      <c r="E55" s="487">
        <f t="shared" si="17"/>
        <v>0</v>
      </c>
      <c r="F55" s="487">
        <f t="shared" si="18"/>
        <v>0</v>
      </c>
      <c r="H55" s="495"/>
    </row>
    <row r="56" spans="1:8" ht="20.100000000000001" customHeight="1" x14ac:dyDescent="0.25">
      <c r="A56" s="484" t="s">
        <v>1333</v>
      </c>
      <c r="B56" s="454" t="str">
        <f t="shared" si="15"/>
        <v>Zocalo ceramico</v>
      </c>
      <c r="C56" s="455" t="str">
        <f t="shared" si="16"/>
        <v>ml</v>
      </c>
      <c r="D56" s="485">
        <v>70.77</v>
      </c>
      <c r="E56" s="487">
        <f t="shared" si="17"/>
        <v>0</v>
      </c>
      <c r="F56" s="487">
        <f t="shared" si="18"/>
        <v>0</v>
      </c>
      <c r="H56" s="495"/>
    </row>
    <row r="57" spans="1:8" ht="20.100000000000001" customHeight="1" x14ac:dyDescent="0.25">
      <c r="A57" s="484">
        <v>11</v>
      </c>
      <c r="B57" s="454" t="str">
        <f t="shared" si="15"/>
        <v xml:space="preserve">CIELORRASOS  </v>
      </c>
      <c r="C57" s="455">
        <f t="shared" si="16"/>
        <v>0</v>
      </c>
      <c r="D57" s="485"/>
      <c r="E57" s="487">
        <f t="shared" si="17"/>
        <v>0</v>
      </c>
      <c r="F57" s="487">
        <f t="shared" si="18"/>
        <v>0</v>
      </c>
      <c r="H57" s="495"/>
    </row>
    <row r="58" spans="1:8" ht="20.100000000000001" customHeight="1" x14ac:dyDescent="0.25">
      <c r="A58" s="484" t="s">
        <v>1334</v>
      </c>
      <c r="B58" s="454" t="str">
        <f t="shared" si="15"/>
        <v>Cielorraso aplicado enlucido de yeso</v>
      </c>
      <c r="C58" s="455" t="str">
        <f t="shared" si="16"/>
        <v>m2</v>
      </c>
      <c r="D58" s="485">
        <v>85.676000000000002</v>
      </c>
      <c r="E58" s="487">
        <f t="shared" si="17"/>
        <v>0</v>
      </c>
      <c r="F58" s="487">
        <f t="shared" si="18"/>
        <v>0</v>
      </c>
      <c r="H58" s="495"/>
    </row>
    <row r="59" spans="1:8" ht="20.100000000000001" customHeight="1" x14ac:dyDescent="0.25">
      <c r="A59" s="484" t="s">
        <v>1335</v>
      </c>
      <c r="B59" s="454" t="str">
        <f t="shared" si="15"/>
        <v>Suspendidos de placa de roca de yeso resistente a la humedad ( con proteccion acustica)</v>
      </c>
      <c r="C59" s="455" t="str">
        <f t="shared" si="16"/>
        <v>m2</v>
      </c>
      <c r="D59" s="485">
        <v>3.8769999999999998</v>
      </c>
      <c r="E59" s="487">
        <f t="shared" si="17"/>
        <v>0</v>
      </c>
      <c r="F59" s="487">
        <f t="shared" si="18"/>
        <v>0</v>
      </c>
      <c r="H59" s="495"/>
    </row>
    <row r="60" spans="1:8" ht="20.100000000000001" customHeight="1" x14ac:dyDescent="0.25">
      <c r="A60" s="484">
        <v>12</v>
      </c>
      <c r="B60" s="454" t="str">
        <f t="shared" si="15"/>
        <v xml:space="preserve">CUBIERTA </v>
      </c>
      <c r="C60" s="455">
        <f t="shared" si="16"/>
        <v>0</v>
      </c>
      <c r="D60" s="485"/>
      <c r="E60" s="487">
        <f t="shared" si="17"/>
        <v>0</v>
      </c>
      <c r="F60" s="487">
        <f t="shared" si="18"/>
        <v>0</v>
      </c>
      <c r="H60" s="495"/>
    </row>
    <row r="61" spans="1:8" ht="20.100000000000001" customHeight="1" x14ac:dyDescent="0.25">
      <c r="A61" s="484" t="s">
        <v>1386</v>
      </c>
      <c r="B61" s="454" t="str">
        <f t="shared" si="15"/>
        <v>Hormigón Liviano con Pendiente | esp min 5 cm</v>
      </c>
      <c r="C61" s="455" t="str">
        <f t="shared" si="16"/>
        <v>m2</v>
      </c>
      <c r="D61" s="485">
        <v>17.13</v>
      </c>
      <c r="E61" s="487">
        <f t="shared" si="17"/>
        <v>0</v>
      </c>
      <c r="F61" s="487">
        <f t="shared" si="18"/>
        <v>0</v>
      </c>
      <c r="H61" s="495"/>
    </row>
    <row r="62" spans="1:8" ht="20.100000000000001" customHeight="1" x14ac:dyDescent="0.25">
      <c r="A62" s="484" t="s">
        <v>1387</v>
      </c>
      <c r="B62" s="454" t="str">
        <f t="shared" si="15"/>
        <v>Pintura asfáltica para imprimación de membrana</v>
      </c>
      <c r="C62" s="455" t="str">
        <f t="shared" si="16"/>
        <v>m2</v>
      </c>
      <c r="D62" s="485">
        <v>17.13</v>
      </c>
      <c r="E62" s="487">
        <f t="shared" si="17"/>
        <v>0</v>
      </c>
      <c r="F62" s="487">
        <f t="shared" si="18"/>
        <v>0</v>
      </c>
      <c r="H62" s="495"/>
    </row>
    <row r="63" spans="1:8" ht="20.100000000000001" customHeight="1" x14ac:dyDescent="0.25">
      <c r="A63" s="484" t="s">
        <v>1388</v>
      </c>
      <c r="B63" s="454" t="str">
        <f t="shared" si="15"/>
        <v>Membrana Asfáltica 4mm terminación aluminio gofrado de 40 micrones</v>
      </c>
      <c r="C63" s="455" t="str">
        <f t="shared" si="16"/>
        <v>m2</v>
      </c>
      <c r="D63" s="485">
        <v>17.13</v>
      </c>
      <c r="E63" s="487">
        <f t="shared" si="17"/>
        <v>0</v>
      </c>
      <c r="F63" s="487">
        <f t="shared" si="18"/>
        <v>0</v>
      </c>
      <c r="H63" s="495"/>
    </row>
    <row r="64" spans="1:8" ht="20.100000000000001" customHeight="1" x14ac:dyDescent="0.25">
      <c r="A64" s="484">
        <v>13</v>
      </c>
      <c r="B64" s="454" t="str">
        <f t="shared" si="15"/>
        <v>CARPINTERIAS</v>
      </c>
      <c r="C64" s="455">
        <f t="shared" si="16"/>
        <v>0</v>
      </c>
      <c r="D64" s="485"/>
      <c r="E64" s="487">
        <f t="shared" si="17"/>
        <v>0</v>
      </c>
      <c r="F64" s="487">
        <f t="shared" si="18"/>
        <v>0</v>
      </c>
      <c r="H64" s="495"/>
    </row>
    <row r="65" spans="1:8" ht="20.100000000000001" customHeight="1" x14ac:dyDescent="0.25">
      <c r="A65" s="484" t="s">
        <v>1389</v>
      </c>
      <c r="B65" s="454" t="str">
        <f t="shared" si="15"/>
        <v>Carpinterías interiores de madera</v>
      </c>
      <c r="C65" s="455" t="str">
        <f t="shared" si="16"/>
        <v>u</v>
      </c>
      <c r="D65" s="485">
        <v>3.0612200000000001</v>
      </c>
      <c r="E65" s="487">
        <f t="shared" si="17"/>
        <v>0</v>
      </c>
      <c r="F65" s="487">
        <f t="shared" si="18"/>
        <v>0</v>
      </c>
      <c r="H65" s="495"/>
    </row>
    <row r="66" spans="1:8" ht="20.100000000000001" customHeight="1" x14ac:dyDescent="0.25">
      <c r="A66" s="484" t="s">
        <v>1390</v>
      </c>
      <c r="B66" s="454" t="str">
        <f t="shared" si="15"/>
        <v>Puerta de ingreso a vivienda (2.05 x 0.9)</v>
      </c>
      <c r="C66" s="455" t="str">
        <f t="shared" si="16"/>
        <v>u</v>
      </c>
      <c r="D66" s="485">
        <v>1.020408</v>
      </c>
      <c r="E66" s="487">
        <f t="shared" si="17"/>
        <v>0</v>
      </c>
      <c r="F66" s="487">
        <f t="shared" si="18"/>
        <v>0</v>
      </c>
      <c r="H66" s="495"/>
    </row>
    <row r="67" spans="1:8" ht="20.100000000000001" customHeight="1" x14ac:dyDescent="0.25">
      <c r="A67" s="484" t="s">
        <v>1391</v>
      </c>
      <c r="B67" s="454" t="str">
        <f t="shared" si="15"/>
        <v>Ventanas Tipo C02(2,40 x 1,55)</v>
      </c>
      <c r="C67" s="455" t="str">
        <f t="shared" si="16"/>
        <v>u</v>
      </c>
      <c r="D67" s="485">
        <v>1.020408</v>
      </c>
      <c r="E67" s="487">
        <f t="shared" si="17"/>
        <v>0</v>
      </c>
      <c r="F67" s="487">
        <f t="shared" si="18"/>
        <v>0</v>
      </c>
      <c r="H67" s="495"/>
    </row>
    <row r="68" spans="1:8" ht="20.100000000000001" customHeight="1" x14ac:dyDescent="0.25">
      <c r="A68" s="484" t="s">
        <v>1392</v>
      </c>
      <c r="B68" s="454" t="str">
        <f t="shared" si="15"/>
        <v>Ventanas Tipo C05 (1,20 x 1,55)</v>
      </c>
      <c r="C68" s="455" t="str">
        <f t="shared" si="16"/>
        <v>u</v>
      </c>
      <c r="D68" s="485">
        <v>3.0612249999999999</v>
      </c>
      <c r="E68" s="487">
        <f t="shared" si="17"/>
        <v>0</v>
      </c>
      <c r="F68" s="487">
        <f t="shared" si="18"/>
        <v>0</v>
      </c>
      <c r="H68" s="495"/>
    </row>
    <row r="69" spans="1:8" ht="20.100000000000001" customHeight="1" x14ac:dyDescent="0.25">
      <c r="A69" s="484">
        <v>14</v>
      </c>
      <c r="B69" s="454" t="str">
        <f t="shared" si="15"/>
        <v>MARMOLERÍA</v>
      </c>
      <c r="C69" s="455">
        <f t="shared" si="16"/>
        <v>0</v>
      </c>
      <c r="D69" s="485"/>
      <c r="E69" s="487">
        <f t="shared" si="17"/>
        <v>0</v>
      </c>
      <c r="F69" s="487">
        <f t="shared" si="18"/>
        <v>0</v>
      </c>
      <c r="H69" s="495"/>
    </row>
    <row r="70" spans="1:8" ht="20.100000000000001" customHeight="1" x14ac:dyDescent="0.25">
      <c r="A70" s="484" t="s">
        <v>1393</v>
      </c>
      <c r="B70" s="454" t="str">
        <f t="shared" si="15"/>
        <v>Mesada de cocina en granito</v>
      </c>
      <c r="C70" s="455" t="str">
        <f t="shared" si="16"/>
        <v>m2</v>
      </c>
      <c r="D70" s="485">
        <v>1.6326499999999999</v>
      </c>
      <c r="E70" s="487">
        <f t="shared" si="17"/>
        <v>0</v>
      </c>
      <c r="F70" s="487">
        <f t="shared" si="18"/>
        <v>0</v>
      </c>
      <c r="H70" s="495"/>
    </row>
    <row r="71" spans="1:8" ht="20.100000000000001" customHeight="1" x14ac:dyDescent="0.25">
      <c r="A71" s="484">
        <v>15</v>
      </c>
      <c r="B71" s="454" t="str">
        <f t="shared" si="15"/>
        <v>INSTALACIÓN ELÉCTRICA</v>
      </c>
      <c r="C71" s="455">
        <f t="shared" si="16"/>
        <v>0</v>
      </c>
      <c r="D71" s="485"/>
      <c r="E71" s="487">
        <f t="shared" si="17"/>
        <v>0</v>
      </c>
      <c r="F71" s="487">
        <f t="shared" si="18"/>
        <v>0</v>
      </c>
      <c r="H71" s="495"/>
    </row>
    <row r="72" spans="1:8" ht="20.100000000000001" customHeight="1" x14ac:dyDescent="0.25">
      <c r="A72" s="484" t="s">
        <v>1394</v>
      </c>
      <c r="B72" s="454" t="str">
        <f t="shared" si="15"/>
        <v>Instalación eléctrica</v>
      </c>
      <c r="C72" s="455" t="str">
        <f t="shared" si="16"/>
        <v>gl</v>
      </c>
      <c r="D72" s="485">
        <v>1</v>
      </c>
      <c r="E72" s="487">
        <f t="shared" si="17"/>
        <v>0</v>
      </c>
      <c r="F72" s="487">
        <f t="shared" si="18"/>
        <v>0</v>
      </c>
      <c r="H72" s="495"/>
    </row>
    <row r="73" spans="1:8" ht="20.100000000000001" customHeight="1" x14ac:dyDescent="0.25">
      <c r="A73" s="484" t="s">
        <v>1395</v>
      </c>
      <c r="B73" s="454" t="str">
        <f t="shared" si="15"/>
        <v>Tablero principal</v>
      </c>
      <c r="C73" s="455" t="str">
        <f t="shared" si="16"/>
        <v>gl</v>
      </c>
      <c r="D73" s="485">
        <v>1</v>
      </c>
      <c r="E73" s="487">
        <f t="shared" si="17"/>
        <v>0</v>
      </c>
      <c r="F73" s="487">
        <f t="shared" si="18"/>
        <v>0</v>
      </c>
      <c r="H73" s="495"/>
    </row>
    <row r="74" spans="1:8" ht="20.100000000000001" customHeight="1" x14ac:dyDescent="0.25">
      <c r="A74" s="484" t="s">
        <v>1396</v>
      </c>
      <c r="B74" s="454" t="str">
        <f t="shared" si="15"/>
        <v>Tablero secundarios</v>
      </c>
      <c r="C74" s="455" t="str">
        <f t="shared" si="16"/>
        <v>gl</v>
      </c>
      <c r="D74" s="485">
        <v>1</v>
      </c>
      <c r="E74" s="487">
        <f t="shared" si="17"/>
        <v>0</v>
      </c>
      <c r="F74" s="487">
        <f t="shared" si="18"/>
        <v>0</v>
      </c>
      <c r="H74" s="495"/>
    </row>
    <row r="75" spans="1:8" ht="20.100000000000001" customHeight="1" x14ac:dyDescent="0.25">
      <c r="A75" s="484" t="s">
        <v>1397</v>
      </c>
      <c r="B75" s="454" t="str">
        <f t="shared" si="15"/>
        <v>Bocas iluminación UF</v>
      </c>
      <c r="C75" s="455" t="str">
        <f t="shared" si="16"/>
        <v>gl</v>
      </c>
      <c r="D75" s="485">
        <v>1</v>
      </c>
      <c r="E75" s="487">
        <f t="shared" si="17"/>
        <v>0</v>
      </c>
      <c r="F75" s="487">
        <f t="shared" si="18"/>
        <v>0</v>
      </c>
      <c r="H75" s="495"/>
    </row>
    <row r="76" spans="1:8" ht="20.100000000000001" customHeight="1" x14ac:dyDescent="0.25">
      <c r="A76" s="484" t="s">
        <v>1398</v>
      </c>
      <c r="B76" s="454" t="str">
        <f t="shared" si="15"/>
        <v>Bocas iluminación Uc</v>
      </c>
      <c r="C76" s="455" t="str">
        <f t="shared" si="16"/>
        <v>gl</v>
      </c>
      <c r="D76" s="485">
        <v>1</v>
      </c>
      <c r="E76" s="487">
        <f t="shared" si="17"/>
        <v>0</v>
      </c>
      <c r="F76" s="487">
        <f t="shared" si="18"/>
        <v>0</v>
      </c>
      <c r="H76" s="495"/>
    </row>
    <row r="77" spans="1:8" ht="20.100000000000001" customHeight="1" x14ac:dyDescent="0.25">
      <c r="A77" s="484" t="s">
        <v>1399</v>
      </c>
      <c r="B77" s="454" t="str">
        <f t="shared" si="15"/>
        <v>Boca toma corriente uso común</v>
      </c>
      <c r="C77" s="455" t="str">
        <f t="shared" si="16"/>
        <v>gl</v>
      </c>
      <c r="D77" s="485">
        <v>1</v>
      </c>
      <c r="E77" s="487">
        <f t="shared" si="17"/>
        <v>0</v>
      </c>
      <c r="F77" s="487">
        <f t="shared" si="18"/>
        <v>0</v>
      </c>
      <c r="H77" s="495"/>
    </row>
    <row r="78" spans="1:8" ht="20.100000000000001" customHeight="1" x14ac:dyDescent="0.25">
      <c r="A78" s="484" t="s">
        <v>1400</v>
      </c>
      <c r="B78" s="454" t="str">
        <f t="shared" si="15"/>
        <v>Llaves</v>
      </c>
      <c r="C78" s="455" t="str">
        <f t="shared" si="16"/>
        <v>gl</v>
      </c>
      <c r="D78" s="485">
        <v>1</v>
      </c>
      <c r="E78" s="487">
        <f t="shared" si="17"/>
        <v>0</v>
      </c>
      <c r="F78" s="487">
        <f t="shared" si="18"/>
        <v>0</v>
      </c>
      <c r="H78" s="495"/>
    </row>
    <row r="79" spans="1:8" ht="20.100000000000001" customHeight="1" x14ac:dyDescent="0.25">
      <c r="A79" s="484" t="s">
        <v>1401</v>
      </c>
      <c r="B79" s="454" t="str">
        <f t="shared" si="15"/>
        <v xml:space="preserve">Boca teléfono, timbre, TV y portero </v>
      </c>
      <c r="C79" s="455" t="str">
        <f t="shared" si="16"/>
        <v>gl</v>
      </c>
      <c r="D79" s="485">
        <v>1</v>
      </c>
      <c r="E79" s="487">
        <f t="shared" si="17"/>
        <v>0</v>
      </c>
      <c r="F79" s="487">
        <f t="shared" si="18"/>
        <v>0</v>
      </c>
      <c r="H79" s="495"/>
    </row>
    <row r="80" spans="1:8" ht="20.100000000000001" customHeight="1" x14ac:dyDescent="0.25">
      <c r="A80" s="484" t="s">
        <v>1402</v>
      </c>
      <c r="B80" s="454" t="str">
        <f t="shared" si="15"/>
        <v>Instalacion equipo luz de emergencia en espacios comunes</v>
      </c>
      <c r="C80" s="455" t="str">
        <f t="shared" si="16"/>
        <v>gl</v>
      </c>
      <c r="D80" s="485">
        <v>1</v>
      </c>
      <c r="E80" s="487">
        <f t="shared" si="17"/>
        <v>0</v>
      </c>
      <c r="F80" s="487">
        <f t="shared" si="18"/>
        <v>0</v>
      </c>
      <c r="H80" s="495"/>
    </row>
    <row r="81" spans="1:8" ht="20.100000000000001" customHeight="1" x14ac:dyDescent="0.25">
      <c r="A81" s="484" t="s">
        <v>1403</v>
      </c>
      <c r="B81" s="454" t="str">
        <f t="shared" si="15"/>
        <v>Servicios generales / pat</v>
      </c>
      <c r="C81" s="455" t="str">
        <f t="shared" si="16"/>
        <v>gl</v>
      </c>
      <c r="D81" s="485">
        <v>1</v>
      </c>
      <c r="E81" s="487">
        <f t="shared" si="17"/>
        <v>0</v>
      </c>
      <c r="F81" s="487">
        <f t="shared" si="18"/>
        <v>0</v>
      </c>
      <c r="H81" s="495"/>
    </row>
    <row r="82" spans="1:8" ht="20.100000000000001" customHeight="1" x14ac:dyDescent="0.25">
      <c r="A82" s="484" t="s">
        <v>1404</v>
      </c>
      <c r="B82" s="454" t="str">
        <f t="shared" si="15"/>
        <v>Instalación aire acondicionado</v>
      </c>
      <c r="C82" s="455" t="str">
        <f t="shared" si="16"/>
        <v>gl</v>
      </c>
      <c r="D82" s="485">
        <v>1</v>
      </c>
      <c r="E82" s="487">
        <f t="shared" si="17"/>
        <v>0</v>
      </c>
      <c r="F82" s="487">
        <f t="shared" si="18"/>
        <v>0</v>
      </c>
      <c r="H82" s="495"/>
    </row>
    <row r="83" spans="1:8" ht="20.100000000000001" customHeight="1" x14ac:dyDescent="0.25">
      <c r="A83" s="484" t="s">
        <v>1405</v>
      </c>
      <c r="B83" s="454" t="str">
        <f t="shared" si="15"/>
        <v xml:space="preserve">Artefactos en locales comunes </v>
      </c>
      <c r="C83" s="455" t="str">
        <f t="shared" si="16"/>
        <v>gl</v>
      </c>
      <c r="D83" s="485">
        <v>1</v>
      </c>
      <c r="E83" s="487">
        <f t="shared" si="17"/>
        <v>0</v>
      </c>
      <c r="F83" s="487">
        <f t="shared" si="18"/>
        <v>0</v>
      </c>
      <c r="H83" s="495"/>
    </row>
    <row r="84" spans="1:8" ht="20.100000000000001" customHeight="1" x14ac:dyDescent="0.25">
      <c r="A84" s="484" t="s">
        <v>1406</v>
      </c>
      <c r="B84" s="454" t="str">
        <f t="shared" si="15"/>
        <v>Canalizacion y cableado de comando calefon solar</v>
      </c>
      <c r="C84" s="455" t="str">
        <f t="shared" si="16"/>
        <v>gl</v>
      </c>
      <c r="D84" s="485">
        <v>1</v>
      </c>
      <c r="E84" s="487">
        <f t="shared" si="17"/>
        <v>0</v>
      </c>
      <c r="F84" s="487">
        <f t="shared" si="18"/>
        <v>0</v>
      </c>
      <c r="H84" s="495"/>
    </row>
    <row r="85" spans="1:8" ht="20.100000000000001" customHeight="1" x14ac:dyDescent="0.25">
      <c r="A85" s="484">
        <v>16</v>
      </c>
      <c r="B85" s="454" t="str">
        <f t="shared" si="15"/>
        <v>INSTALACIÓN SANITARIA</v>
      </c>
      <c r="C85" s="455">
        <f t="shared" si="16"/>
        <v>0</v>
      </c>
      <c r="D85" s="485"/>
      <c r="E85" s="487">
        <f t="shared" si="17"/>
        <v>0</v>
      </c>
      <c r="F85" s="487">
        <f t="shared" si="18"/>
        <v>0</v>
      </c>
      <c r="H85" s="495"/>
    </row>
    <row r="86" spans="1:8" ht="20.100000000000001" customHeight="1" x14ac:dyDescent="0.25">
      <c r="A86" s="484" t="s">
        <v>1407</v>
      </c>
      <c r="B86" s="454" t="str">
        <f t="shared" si="15"/>
        <v>Instalación agua fría y caliente</v>
      </c>
      <c r="C86" s="455" t="str">
        <f t="shared" si="16"/>
        <v>gl</v>
      </c>
      <c r="D86" s="485">
        <v>1</v>
      </c>
      <c r="E86" s="487">
        <f t="shared" si="17"/>
        <v>0</v>
      </c>
      <c r="F86" s="487">
        <f t="shared" si="18"/>
        <v>0</v>
      </c>
      <c r="H86" s="495"/>
    </row>
    <row r="87" spans="1:8" ht="20.100000000000001" customHeight="1" x14ac:dyDescent="0.25">
      <c r="A87" s="484" t="s">
        <v>1408</v>
      </c>
      <c r="B87" s="454" t="str">
        <f t="shared" si="15"/>
        <v>Desagües Cloacales</v>
      </c>
      <c r="C87" s="455" t="str">
        <f t="shared" si="16"/>
        <v>gl</v>
      </c>
      <c r="D87" s="485">
        <v>1</v>
      </c>
      <c r="E87" s="487">
        <f t="shared" si="17"/>
        <v>0</v>
      </c>
      <c r="F87" s="487">
        <f t="shared" si="18"/>
        <v>0</v>
      </c>
      <c r="H87" s="495"/>
    </row>
    <row r="88" spans="1:8" ht="20.100000000000001" customHeight="1" x14ac:dyDescent="0.25">
      <c r="A88" s="484" t="s">
        <v>1409</v>
      </c>
      <c r="B88" s="454" t="str">
        <f t="shared" si="15"/>
        <v>Desagües Pluviales</v>
      </c>
      <c r="C88" s="455" t="str">
        <f t="shared" si="16"/>
        <v>gl</v>
      </c>
      <c r="D88" s="485">
        <v>1</v>
      </c>
      <c r="E88" s="487">
        <f t="shared" si="17"/>
        <v>0</v>
      </c>
      <c r="F88" s="487">
        <f t="shared" si="18"/>
        <v>0</v>
      </c>
      <c r="H88" s="495"/>
    </row>
    <row r="89" spans="1:8" ht="20.100000000000001" customHeight="1" x14ac:dyDescent="0.25">
      <c r="A89" s="484" t="s">
        <v>1410</v>
      </c>
      <c r="B89" s="454" t="str">
        <f t="shared" si="15"/>
        <v>Desagüe aire acondicionado</v>
      </c>
      <c r="C89" s="455" t="str">
        <f t="shared" si="16"/>
        <v>gl</v>
      </c>
      <c r="D89" s="485">
        <v>1</v>
      </c>
      <c r="E89" s="487">
        <f t="shared" si="17"/>
        <v>0</v>
      </c>
      <c r="F89" s="487">
        <f t="shared" si="18"/>
        <v>0</v>
      </c>
      <c r="H89" s="495"/>
    </row>
    <row r="90" spans="1:8" ht="20.100000000000001" customHeight="1" x14ac:dyDescent="0.25">
      <c r="A90" s="484" t="s">
        <v>1411</v>
      </c>
      <c r="B90" s="454" t="str">
        <f t="shared" si="15"/>
        <v xml:space="preserve">Artefactos sanitarios  </v>
      </c>
      <c r="C90" s="455" t="str">
        <f t="shared" si="16"/>
        <v>gl</v>
      </c>
      <c r="D90" s="485">
        <v>1</v>
      </c>
      <c r="E90" s="487">
        <f t="shared" si="17"/>
        <v>0</v>
      </c>
      <c r="F90" s="487">
        <f t="shared" si="18"/>
        <v>0</v>
      </c>
      <c r="H90" s="495"/>
    </row>
    <row r="91" spans="1:8" ht="20.100000000000001" customHeight="1" x14ac:dyDescent="0.25">
      <c r="A91" s="484" t="s">
        <v>1412</v>
      </c>
      <c r="B91" s="454" t="str">
        <f t="shared" si="15"/>
        <v>Griferia de sanitario y cocina</v>
      </c>
      <c r="C91" s="455" t="str">
        <f t="shared" si="16"/>
        <v>gl</v>
      </c>
      <c r="D91" s="485">
        <v>1</v>
      </c>
      <c r="E91" s="487">
        <f t="shared" si="17"/>
        <v>0</v>
      </c>
      <c r="F91" s="487">
        <f t="shared" si="18"/>
        <v>0</v>
      </c>
      <c r="H91" s="495"/>
    </row>
    <row r="92" spans="1:8" ht="20.100000000000001" customHeight="1" x14ac:dyDescent="0.25">
      <c r="A92" s="484" t="s">
        <v>1413</v>
      </c>
      <c r="B92" s="454" t="str">
        <f t="shared" si="15"/>
        <v>Accesorios de sanitarios</v>
      </c>
      <c r="C92" s="455" t="str">
        <f t="shared" si="16"/>
        <v>gl</v>
      </c>
      <c r="D92" s="485">
        <v>1</v>
      </c>
      <c r="E92" s="487">
        <f t="shared" si="17"/>
        <v>0</v>
      </c>
      <c r="F92" s="487">
        <f t="shared" si="18"/>
        <v>0</v>
      </c>
      <c r="H92" s="495"/>
    </row>
    <row r="93" spans="1:8" ht="20.100000000000001" customHeight="1" x14ac:dyDescent="0.25">
      <c r="A93" s="484" t="s">
        <v>1414</v>
      </c>
      <c r="B93" s="454" t="str">
        <f t="shared" si="15"/>
        <v>Tanque de bombeo (5000 litros)</v>
      </c>
      <c r="C93" s="455" t="str">
        <f t="shared" si="16"/>
        <v>gl</v>
      </c>
      <c r="D93" s="485">
        <v>4.0816999999999999E-2</v>
      </c>
      <c r="E93" s="487">
        <f t="shared" si="17"/>
        <v>0</v>
      </c>
      <c r="F93" s="487">
        <f t="shared" si="18"/>
        <v>0</v>
      </c>
      <c r="H93" s="495"/>
    </row>
    <row r="94" spans="1:8" ht="20.100000000000001" customHeight="1" x14ac:dyDescent="0.25">
      <c r="A94" s="484" t="s">
        <v>1415</v>
      </c>
      <c r="B94" s="454" t="str">
        <f t="shared" si="15"/>
        <v xml:space="preserve">Tanque de reserva (5000 litros) </v>
      </c>
      <c r="C94" s="455" t="str">
        <f t="shared" si="16"/>
        <v>gl</v>
      </c>
      <c r="D94" s="485">
        <v>0.10204000000000001</v>
      </c>
      <c r="E94" s="487">
        <f t="shared" si="17"/>
        <v>0</v>
      </c>
      <c r="F94" s="487">
        <f t="shared" si="18"/>
        <v>0</v>
      </c>
      <c r="H94" s="495"/>
    </row>
    <row r="95" spans="1:8" ht="20.100000000000001" customHeight="1" x14ac:dyDescent="0.25">
      <c r="A95" s="484">
        <v>17</v>
      </c>
      <c r="B95" s="454" t="str">
        <f t="shared" si="15"/>
        <v>INSTALACIÓN CONTRA INCENDIO TOTAL</v>
      </c>
      <c r="C95" s="455">
        <f t="shared" si="16"/>
        <v>0</v>
      </c>
      <c r="D95" s="485"/>
      <c r="E95" s="487">
        <f t="shared" si="17"/>
        <v>0</v>
      </c>
      <c r="F95" s="487">
        <f t="shared" si="18"/>
        <v>0</v>
      </c>
      <c r="H95" s="495"/>
    </row>
    <row r="96" spans="1:8" ht="20.100000000000001" customHeight="1" x14ac:dyDescent="0.25">
      <c r="A96" s="484" t="s">
        <v>1416</v>
      </c>
      <c r="B96" s="454" t="str">
        <f t="shared" si="15"/>
        <v>Tanque de reserva   PRFV 5000 LTS</v>
      </c>
      <c r="C96" s="455" t="str">
        <f t="shared" si="16"/>
        <v>u</v>
      </c>
      <c r="D96" s="485">
        <v>6.7960999999999994E-2</v>
      </c>
      <c r="E96" s="487">
        <f t="shared" si="17"/>
        <v>0</v>
      </c>
      <c r="F96" s="487">
        <f t="shared" si="18"/>
        <v>0</v>
      </c>
      <c r="H96" s="495"/>
    </row>
    <row r="97" spans="1:8" ht="20.100000000000001" customHeight="1" x14ac:dyDescent="0.25">
      <c r="A97" s="484" t="s">
        <v>1417</v>
      </c>
      <c r="B97" s="454" t="str">
        <f t="shared" si="15"/>
        <v xml:space="preserve">Bomba de 15 hp </v>
      </c>
      <c r="C97" s="455" t="str">
        <f t="shared" si="16"/>
        <v>u</v>
      </c>
      <c r="D97" s="485">
        <v>3.8835000000000001E-2</v>
      </c>
      <c r="E97" s="487">
        <f t="shared" si="17"/>
        <v>0</v>
      </c>
      <c r="F97" s="487">
        <f t="shared" si="18"/>
        <v>0</v>
      </c>
      <c r="H97" s="495"/>
    </row>
    <row r="98" spans="1:8" ht="20.100000000000001" customHeight="1" x14ac:dyDescent="0.25">
      <c r="A98" s="484" t="s">
        <v>1418</v>
      </c>
      <c r="B98" s="454" t="str">
        <f t="shared" si="15"/>
        <v>Extintores ABC 5 kg</v>
      </c>
      <c r="C98" s="455" t="str">
        <f t="shared" si="16"/>
        <v>u</v>
      </c>
      <c r="D98" s="485">
        <v>0.58252400000000004</v>
      </c>
      <c r="E98" s="487">
        <f t="shared" si="17"/>
        <v>0</v>
      </c>
      <c r="F98" s="487">
        <f t="shared" si="18"/>
        <v>0</v>
      </c>
      <c r="H98" s="495"/>
    </row>
    <row r="99" spans="1:8" ht="20.100000000000001" customHeight="1" x14ac:dyDescent="0.25">
      <c r="A99" s="484" t="s">
        <v>1419</v>
      </c>
      <c r="B99" s="454" t="str">
        <f t="shared" si="15"/>
        <v>Hidrantes con caja lanza y martillo</v>
      </c>
      <c r="C99" s="455" t="str">
        <f t="shared" si="16"/>
        <v>u</v>
      </c>
      <c r="D99" s="485">
        <v>0.28571400000000002</v>
      </c>
      <c r="E99" s="487">
        <f t="shared" si="17"/>
        <v>0</v>
      </c>
      <c r="F99" s="487">
        <f t="shared" si="18"/>
        <v>0</v>
      </c>
      <c r="H99" s="495"/>
    </row>
    <row r="100" spans="1:8" ht="20.100000000000001" customHeight="1" x14ac:dyDescent="0.25">
      <c r="A100" s="484" t="s">
        <v>1420</v>
      </c>
      <c r="B100" s="454" t="str">
        <f t="shared" si="15"/>
        <v>Manguera para incendio diametro 38,long 25 metros</v>
      </c>
      <c r="C100" s="455" t="str">
        <f t="shared" si="16"/>
        <v>u</v>
      </c>
      <c r="D100" s="485">
        <v>0.28571400000000002</v>
      </c>
      <c r="E100" s="487">
        <f t="shared" si="17"/>
        <v>0</v>
      </c>
      <c r="F100" s="487">
        <f t="shared" si="18"/>
        <v>0</v>
      </c>
      <c r="H100" s="495"/>
    </row>
    <row r="101" spans="1:8" ht="20.100000000000001" customHeight="1" x14ac:dyDescent="0.25">
      <c r="A101" s="484" t="s">
        <v>1421</v>
      </c>
      <c r="B101" s="454" t="str">
        <f t="shared" si="15"/>
        <v xml:space="preserve">Bomba Joker </v>
      </c>
      <c r="C101" s="455" t="str">
        <f t="shared" si="16"/>
        <v>u</v>
      </c>
      <c r="D101" s="485">
        <v>2.0407999999999999E-2</v>
      </c>
      <c r="E101" s="487">
        <f t="shared" si="17"/>
        <v>0</v>
      </c>
      <c r="F101" s="487">
        <f t="shared" si="18"/>
        <v>0</v>
      </c>
      <c r="H101" s="495"/>
    </row>
    <row r="102" spans="1:8" ht="20.100000000000001" customHeight="1" x14ac:dyDescent="0.25">
      <c r="A102" s="484" t="s">
        <v>1422</v>
      </c>
      <c r="B102" s="454" t="str">
        <f t="shared" si="15"/>
        <v>Luces de Emergencia</v>
      </c>
      <c r="C102" s="455" t="str">
        <f t="shared" si="16"/>
        <v>u</v>
      </c>
      <c r="D102" s="485">
        <v>1.3877550000000001</v>
      </c>
      <c r="E102" s="487">
        <f t="shared" si="17"/>
        <v>0</v>
      </c>
      <c r="F102" s="487">
        <f t="shared" si="18"/>
        <v>0</v>
      </c>
      <c r="H102" s="495"/>
    </row>
    <row r="103" spans="1:8" ht="20.100000000000001" customHeight="1" x14ac:dyDescent="0.25">
      <c r="A103" s="484" t="s">
        <v>1423</v>
      </c>
      <c r="B103" s="454" t="str">
        <f t="shared" si="15"/>
        <v>Cañeria HG 75 mm</v>
      </c>
      <c r="C103" s="455" t="str">
        <f t="shared" si="16"/>
        <v>ml</v>
      </c>
      <c r="D103" s="485">
        <v>0</v>
      </c>
      <c r="E103" s="487">
        <f t="shared" si="17"/>
        <v>0</v>
      </c>
      <c r="F103" s="487">
        <f t="shared" si="18"/>
        <v>0</v>
      </c>
      <c r="H103" s="495"/>
    </row>
    <row r="104" spans="1:8" ht="20.100000000000001" customHeight="1" x14ac:dyDescent="0.25">
      <c r="A104" s="484" t="s">
        <v>1424</v>
      </c>
      <c r="B104" s="454" t="str">
        <f t="shared" si="15"/>
        <v>Cañeria HG 63 mm</v>
      </c>
      <c r="C104" s="455" t="str">
        <f t="shared" si="16"/>
        <v>ml</v>
      </c>
      <c r="D104" s="485">
        <v>2.3877549999999998</v>
      </c>
      <c r="E104" s="487">
        <f t="shared" si="17"/>
        <v>0</v>
      </c>
      <c r="F104" s="487">
        <f t="shared" si="18"/>
        <v>0</v>
      </c>
      <c r="H104" s="495"/>
    </row>
    <row r="105" spans="1:8" ht="20.100000000000001" customHeight="1" x14ac:dyDescent="0.25">
      <c r="A105" s="484" t="s">
        <v>1425</v>
      </c>
      <c r="B105" s="454" t="str">
        <f t="shared" si="15"/>
        <v>Cañeria HG 50 mm</v>
      </c>
      <c r="C105" s="455" t="str">
        <f t="shared" si="16"/>
        <v>ml</v>
      </c>
      <c r="D105" s="485">
        <v>0.22449</v>
      </c>
      <c r="E105" s="487">
        <f t="shared" si="17"/>
        <v>0</v>
      </c>
      <c r="F105" s="487">
        <f t="shared" si="18"/>
        <v>0</v>
      </c>
      <c r="H105" s="495"/>
    </row>
    <row r="106" spans="1:8" ht="20.100000000000001" customHeight="1" x14ac:dyDescent="0.25">
      <c r="A106" s="484" t="s">
        <v>1426</v>
      </c>
      <c r="B106" s="454" t="str">
        <f t="shared" si="15"/>
        <v>Valvulas Esclusas de bronce dim 45</v>
      </c>
      <c r="C106" s="455" t="str">
        <f t="shared" si="16"/>
        <v>u</v>
      </c>
      <c r="D106" s="485">
        <v>0.244898</v>
      </c>
      <c r="E106" s="487">
        <f t="shared" si="17"/>
        <v>0</v>
      </c>
      <c r="F106" s="487">
        <f t="shared" si="18"/>
        <v>0</v>
      </c>
      <c r="H106" s="495"/>
    </row>
    <row r="107" spans="1:8" ht="20.100000000000001" customHeight="1" x14ac:dyDescent="0.25">
      <c r="A107" s="484" t="s">
        <v>1427</v>
      </c>
      <c r="B107" s="454" t="str">
        <f t="shared" si="15"/>
        <v>Valvulas Esclusas de bronce dim 38</v>
      </c>
      <c r="C107" s="455" t="str">
        <f t="shared" si="16"/>
        <v>u</v>
      </c>
      <c r="D107" s="485">
        <v>4.0815999999999998E-2</v>
      </c>
      <c r="E107" s="487">
        <f t="shared" si="17"/>
        <v>0</v>
      </c>
      <c r="F107" s="487">
        <f t="shared" si="18"/>
        <v>0</v>
      </c>
      <c r="H107" s="495"/>
    </row>
    <row r="108" spans="1:8" ht="20.100000000000001" customHeight="1" x14ac:dyDescent="0.25">
      <c r="A108" s="484" t="s">
        <v>1428</v>
      </c>
      <c r="B108" s="454" t="str">
        <f t="shared" si="15"/>
        <v>Caja de Impulsion con llave esferica de 2" (60x40)</v>
      </c>
      <c r="C108" s="455" t="str">
        <f t="shared" si="16"/>
        <v>u</v>
      </c>
      <c r="D108" s="485">
        <v>2.0407999999999999E-2</v>
      </c>
      <c r="E108" s="487">
        <f t="shared" si="17"/>
        <v>0</v>
      </c>
      <c r="F108" s="487">
        <f t="shared" si="18"/>
        <v>0</v>
      </c>
      <c r="H108" s="495"/>
    </row>
    <row r="109" spans="1:8" ht="20.100000000000001" customHeight="1" x14ac:dyDescent="0.25">
      <c r="A109" s="484" t="s">
        <v>1429</v>
      </c>
      <c r="B109" s="454" t="str">
        <f t="shared" si="15"/>
        <v>Tambor con arena de 200 lts</v>
      </c>
      <c r="C109" s="455" t="str">
        <f t="shared" si="16"/>
        <v>u</v>
      </c>
      <c r="D109" s="485">
        <v>6.1224000000000001E-2</v>
      </c>
      <c r="E109" s="487">
        <f t="shared" si="17"/>
        <v>0</v>
      </c>
      <c r="F109" s="487">
        <f t="shared" si="18"/>
        <v>0</v>
      </c>
      <c r="H109" s="495"/>
    </row>
    <row r="110" spans="1:8" ht="20.100000000000001" customHeight="1" x14ac:dyDescent="0.25">
      <c r="A110" s="484">
        <v>18</v>
      </c>
      <c r="B110" s="454" t="str">
        <f t="shared" si="15"/>
        <v>INSTALACION ELECTROMECANICA</v>
      </c>
      <c r="C110" s="455">
        <f t="shared" si="16"/>
        <v>0</v>
      </c>
      <c r="D110" s="485"/>
      <c r="E110" s="487">
        <f t="shared" si="17"/>
        <v>0</v>
      </c>
      <c r="F110" s="487">
        <f t="shared" si="18"/>
        <v>0</v>
      </c>
      <c r="H110" s="495"/>
    </row>
    <row r="111" spans="1:8" ht="20.100000000000001" customHeight="1" x14ac:dyDescent="0.25">
      <c r="A111" s="484" t="s">
        <v>1430</v>
      </c>
      <c r="B111" s="454" t="str">
        <f t="shared" ref="B111:B115" si="19">IFERROR(VLOOKUP(A111,Tabla_Datos,2,FALSE),0)</f>
        <v>Instalación electromagnética</v>
      </c>
      <c r="C111" s="455" t="str">
        <f t="shared" ref="C111:C115" si="20">IFERROR(VLOOKUP(A111,Tabla_Datos,3,FALSE),0)</f>
        <v>gl</v>
      </c>
      <c r="D111" s="485">
        <v>4.0815999999999998E-2</v>
      </c>
      <c r="E111" s="487">
        <f t="shared" ref="E111:E115" si="21">IFERROR(VLOOKUP(A111,Tabla_Comp_Presup,7,FALSE),0)</f>
        <v>0</v>
      </c>
      <c r="F111" s="487">
        <f t="shared" ref="F111:F115" si="22">ROUND(D111*E111,15)</f>
        <v>0</v>
      </c>
      <c r="H111" s="495"/>
    </row>
    <row r="112" spans="1:8" ht="20.100000000000001" customHeight="1" x14ac:dyDescent="0.25">
      <c r="A112" s="484" t="s">
        <v>1431</v>
      </c>
      <c r="B112" s="454" t="str">
        <f t="shared" si="19"/>
        <v>Ascensor Electromagnetico Cap.450 kg Ancho 1100 x 1300 cm (Torre 9 niveles)</v>
      </c>
      <c r="C112" s="455" t="str">
        <f t="shared" si="20"/>
        <v>u</v>
      </c>
      <c r="D112" s="485">
        <v>0</v>
      </c>
      <c r="E112" s="487">
        <f t="shared" si="21"/>
        <v>0</v>
      </c>
      <c r="F112" s="487">
        <f t="shared" si="22"/>
        <v>0</v>
      </c>
      <c r="H112" s="495"/>
    </row>
    <row r="113" spans="1:8" ht="20.100000000000001" customHeight="1" x14ac:dyDescent="0.25">
      <c r="A113" s="484" t="s">
        <v>1521</v>
      </c>
      <c r="B113" s="454" t="str">
        <f t="shared" ref="B113" si="23">IFERROR(VLOOKUP(A113,Tabla_Datos,2,FALSE),0)</f>
        <v>Ascensor Electromagnetico Cap.450 kg Ancho 1100 x 1300 cm  (Ala 5 niveles)</v>
      </c>
      <c r="C113" s="455" t="str">
        <f t="shared" ref="C113" si="24">IFERROR(VLOOKUP(A113,Tabla_Datos,3,FALSE),0)</f>
        <v>u</v>
      </c>
      <c r="D113" s="485">
        <v>4.0815999999999998E-2</v>
      </c>
      <c r="E113" s="487">
        <f t="shared" ref="E113" si="25">IFERROR(VLOOKUP(A113,Tabla_Comp_Presup,7,FALSE),0)</f>
        <v>0</v>
      </c>
      <c r="F113" s="487">
        <f t="shared" ref="F113" si="26">ROUND(D113*E113,15)</f>
        <v>0</v>
      </c>
      <c r="H113" s="495"/>
    </row>
    <row r="114" spans="1:8" ht="20.100000000000001" customHeight="1" x14ac:dyDescent="0.25">
      <c r="A114" s="484">
        <v>19</v>
      </c>
      <c r="B114" s="454" t="str">
        <f t="shared" si="19"/>
        <v>CONDUCTOS Y VENTILACIONES</v>
      </c>
      <c r="C114" s="455">
        <f t="shared" si="20"/>
        <v>0</v>
      </c>
      <c r="D114" s="485"/>
      <c r="E114" s="487">
        <f t="shared" si="21"/>
        <v>0</v>
      </c>
      <c r="F114" s="487">
        <f t="shared" si="22"/>
        <v>0</v>
      </c>
      <c r="H114" s="495"/>
    </row>
    <row r="115" spans="1:8" ht="20.100000000000001" customHeight="1" x14ac:dyDescent="0.25">
      <c r="A115" s="484" t="s">
        <v>1432</v>
      </c>
      <c r="B115" s="454" t="str">
        <f t="shared" si="19"/>
        <v>Rejilla ventilación baños</v>
      </c>
      <c r="C115" s="455" t="str">
        <f t="shared" si="20"/>
        <v>u</v>
      </c>
      <c r="D115" s="485">
        <v>1.4285714285714286</v>
      </c>
      <c r="E115" s="487">
        <f t="shared" si="21"/>
        <v>0</v>
      </c>
      <c r="F115" s="487">
        <f t="shared" si="22"/>
        <v>0</v>
      </c>
      <c r="H115" s="495"/>
    </row>
    <row r="116" spans="1:8" ht="20.100000000000001" customHeight="1" x14ac:dyDescent="0.25">
      <c r="A116" s="193"/>
      <c r="B116" s="194"/>
      <c r="C116" s="195"/>
      <c r="D116" s="196"/>
      <c r="E116" s="197"/>
      <c r="F116" s="197"/>
    </row>
    <row r="117" spans="1:8" ht="20.100000000000001" customHeight="1" x14ac:dyDescent="0.25">
      <c r="A117" s="459" t="s">
        <v>1106</v>
      </c>
      <c r="B117" s="460" t="s">
        <v>1162</v>
      </c>
      <c r="C117" s="461"/>
      <c r="D117" s="462"/>
      <c r="E117" s="463"/>
      <c r="F117" s="464">
        <f>ROUND(F126/Coef_Paso_Vivienda,2)</f>
        <v>0</v>
      </c>
    </row>
    <row r="118" spans="1:8" ht="20.100000000000001" customHeight="1" x14ac:dyDescent="0.25">
      <c r="A118" s="465" t="s">
        <v>1107</v>
      </c>
      <c r="B118" s="466" t="str">
        <f>"COSTO FINANCIERO  "&amp;ROUND(Costo_Financiero*100,2)&amp;" % de ( 1 )"</f>
        <v>COSTO FINANCIERO  0 % de ( 1 )</v>
      </c>
      <c r="C118" s="467">
        <f>Costo_Financiero</f>
        <v>0</v>
      </c>
      <c r="D118" s="468"/>
      <c r="E118" s="469">
        <f>Costo_Financiero</f>
        <v>0</v>
      </c>
      <c r="F118" s="470">
        <f>ROUND(F117*Costo_Financiero,2)</f>
        <v>0</v>
      </c>
    </row>
    <row r="119" spans="1:8" ht="20.100000000000001" customHeight="1" x14ac:dyDescent="0.25">
      <c r="A119" s="465" t="s">
        <v>1108</v>
      </c>
      <c r="B119" s="466" t="s">
        <v>1158</v>
      </c>
      <c r="C119" s="467"/>
      <c r="D119" s="468"/>
      <c r="E119" s="471"/>
      <c r="F119" s="470">
        <f>F117+F118</f>
        <v>0</v>
      </c>
    </row>
    <row r="120" spans="1:8" ht="20.100000000000001" customHeight="1" x14ac:dyDescent="0.25">
      <c r="A120" s="465" t="s">
        <v>1109</v>
      </c>
      <c r="B120" s="472" t="str">
        <f>CONCATENATE("GASTOS GENERALES  ",ROUND(Gastos_Generales*100,3)," % de ( 3 )")</f>
        <v>GASTOS GENERALES  10 % de ( 3 )</v>
      </c>
      <c r="C120" s="469">
        <f>Gastos_Generales</f>
        <v>0.1</v>
      </c>
      <c r="D120" s="473"/>
      <c r="E120" s="471"/>
      <c r="F120" s="470">
        <f>ROUND(F119*Gastos_Generales,2)</f>
        <v>0</v>
      </c>
    </row>
    <row r="121" spans="1:8" ht="20.100000000000001" customHeight="1" x14ac:dyDescent="0.25">
      <c r="A121" s="465" t="s">
        <v>1110</v>
      </c>
      <c r="B121" s="472" t="str">
        <f>CONCATENATE("BENEFICIOS  ",ROUND(Beneficio*100,2)," % de ( 3 )")</f>
        <v>BENEFICIOS  10 % de ( 3 )</v>
      </c>
      <c r="C121" s="469">
        <f>Beneficio</f>
        <v>0.1</v>
      </c>
      <c r="D121" s="473"/>
      <c r="E121" s="471"/>
      <c r="F121" s="470">
        <f>ROUND(F119*Beneficio,2)</f>
        <v>0</v>
      </c>
    </row>
    <row r="122" spans="1:8" ht="20.100000000000001" customHeight="1" x14ac:dyDescent="0.25">
      <c r="A122" s="465">
        <v>6</v>
      </c>
      <c r="B122" s="466" t="s">
        <v>1159</v>
      </c>
      <c r="C122" s="471"/>
      <c r="D122" s="473"/>
      <c r="E122" s="471"/>
      <c r="F122" s="470">
        <f>F119+F120+F121</f>
        <v>0</v>
      </c>
    </row>
    <row r="123" spans="1:8" ht="20.100000000000001" customHeight="1" x14ac:dyDescent="0.25">
      <c r="A123" s="465" t="s">
        <v>1160</v>
      </c>
      <c r="B123" s="472" t="str">
        <f>CONCATENATE("INGRESOS BRUTOS Y LOTE HOGAR  ",ROUND(Ingresos_Brutos*100,2)," % de ( 6 )")</f>
        <v>INGRESOS BRUTOS Y LOTE HOGAR  2,4 % de ( 6 )</v>
      </c>
      <c r="C123" s="469">
        <f>Ingresos_Brutos</f>
        <v>2.4E-2</v>
      </c>
      <c r="D123" s="473"/>
      <c r="E123" s="471"/>
      <c r="F123" s="470">
        <f>IF(Ingresos_Brutos=0,,ROUND(Ingresos_Brutos*F122,2))</f>
        <v>0</v>
      </c>
    </row>
    <row r="124" spans="1:8" ht="20.100000000000001" customHeight="1" x14ac:dyDescent="0.25">
      <c r="A124" s="474" t="s">
        <v>1161</v>
      </c>
      <c r="B124" s="475" t="str">
        <f>CONCATENATE("IMPUESTO AL VALOR AGREGADO ",IVA_Vivienda*100," % de ( 6 )")</f>
        <v>IMPUESTO AL VALOR AGREGADO 0,000000000001 % de ( 6 )</v>
      </c>
      <c r="C124" s="476">
        <f>IVA_Vivienda</f>
        <v>1E-14</v>
      </c>
      <c r="D124" s="477"/>
      <c r="E124" s="478"/>
      <c r="F124" s="479">
        <f>IF(IVA_Vivienda=0,,ROUND(IVA_Vivienda*F122,2))</f>
        <v>0</v>
      </c>
    </row>
    <row r="125" spans="1:8" ht="20.100000000000001" customHeight="1" x14ac:dyDescent="0.25">
      <c r="A125" s="88"/>
      <c r="B125" s="83"/>
      <c r="C125" s="83"/>
      <c r="D125" s="84"/>
      <c r="E125" s="85"/>
      <c r="F125" s="2"/>
    </row>
    <row r="126" spans="1:8" ht="20.100000000000001" customHeight="1" x14ac:dyDescent="0.25">
      <c r="A126" s="480"/>
      <c r="B126" s="481" t="str">
        <f>"PRECIO TOTAL VIVENDA"</f>
        <v>PRECIO TOTAL VIVENDA</v>
      </c>
      <c r="C126" s="481"/>
      <c r="D126" s="482"/>
      <c r="E126" s="480"/>
      <c r="F126" s="483">
        <f>SUM(F11:F115)</f>
        <v>0</v>
      </c>
    </row>
    <row r="129" spans="5:6" x14ac:dyDescent="0.25">
      <c r="E129" s="322"/>
      <c r="F129" s="491"/>
    </row>
    <row r="132" spans="5:6" x14ac:dyDescent="0.25">
      <c r="F132" s="491"/>
    </row>
  </sheetData>
  <mergeCells count="7">
    <mergeCell ref="A1:F1"/>
    <mergeCell ref="A7:A8"/>
    <mergeCell ref="B7:B8"/>
    <mergeCell ref="C7:C8"/>
    <mergeCell ref="D7:D8"/>
    <mergeCell ref="E7:E8"/>
    <mergeCell ref="F7:F8"/>
  </mergeCells>
  <phoneticPr fontId="10" type="noConversion"/>
  <conditionalFormatting sqref="A11:A30 B10:B30 A31:B116">
    <cfRule type="expression" dxfId="150" priority="5" stopIfTrue="1">
      <formula>$C10=0</formula>
    </cfRule>
  </conditionalFormatting>
  <conditionalFormatting sqref="A10">
    <cfRule type="expression" dxfId="149" priority="4" stopIfTrue="1">
      <formula>$C10=0</formula>
    </cfRule>
  </conditionalFormatting>
  <conditionalFormatting sqref="F117">
    <cfRule type="expression" dxfId="148" priority="3" stopIfTrue="1">
      <formula>#REF!=1</formula>
    </cfRule>
  </conditionalFormatting>
  <pageMargins left="0.19685039370078741" right="0" top="0.78740157480314965" bottom="0.39370078740157483" header="0.19685039370078741" footer="0.19685039370078741"/>
  <pageSetup paperSize="9" scale="5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2"/>
  <sheetViews>
    <sheetView workbookViewId="0">
      <selection activeCell="G3" sqref="G3"/>
    </sheetView>
  </sheetViews>
  <sheetFormatPr baseColWidth="10" defaultRowHeight="13.2" x14ac:dyDescent="0.25"/>
  <cols>
    <col min="1" max="1" width="20.44140625" customWidth="1"/>
    <col min="2" max="2" width="84.88671875" customWidth="1"/>
    <col min="5" max="5" width="18" customWidth="1"/>
    <col min="6" max="6" width="19" customWidth="1"/>
    <col min="8" max="8" width="12.33203125" bestFit="1" customWidth="1"/>
  </cols>
  <sheetData>
    <row r="1" spans="1:7" ht="20.100000000000001" customHeight="1" x14ac:dyDescent="0.25">
      <c r="A1" s="587" t="s">
        <v>1253</v>
      </c>
      <c r="B1" s="587"/>
      <c r="C1" s="587"/>
      <c r="D1" s="587"/>
      <c r="E1" s="587"/>
      <c r="F1" s="587"/>
    </row>
    <row r="2" spans="1:7" ht="20.100000000000001" customHeight="1" x14ac:dyDescent="0.25">
      <c r="A2" s="94" t="s">
        <v>1230</v>
      </c>
      <c r="B2" s="93" t="str">
        <f>Obra</f>
        <v>LA NAVE - 103 DEPARTAMENTOS - CAPITAL</v>
      </c>
      <c r="C2" s="150"/>
      <c r="D2" s="95"/>
      <c r="E2" s="95"/>
      <c r="F2" s="95"/>
    </row>
    <row r="3" spans="1:7" ht="20.100000000000001" customHeight="1" x14ac:dyDescent="0.25">
      <c r="A3" s="94" t="s">
        <v>1231</v>
      </c>
      <c r="B3" s="93" t="str">
        <f>Ubicación</f>
        <v>CAPITAL</v>
      </c>
      <c r="C3" s="95"/>
      <c r="D3" s="95"/>
      <c r="E3" s="95"/>
      <c r="F3" s="95"/>
    </row>
    <row r="4" spans="1:7" ht="20.100000000000001" customHeight="1" x14ac:dyDescent="0.25">
      <c r="A4" s="94" t="s">
        <v>1127</v>
      </c>
      <c r="B4" s="98" t="s">
        <v>1269</v>
      </c>
      <c r="C4" s="94"/>
      <c r="D4" s="95"/>
      <c r="E4" s="95"/>
      <c r="F4" s="95"/>
    </row>
    <row r="5" spans="1:7" ht="20.100000000000001" customHeight="1" x14ac:dyDescent="0.25">
      <c r="A5" s="94" t="s">
        <v>1156</v>
      </c>
      <c r="B5" s="578">
        <v>5</v>
      </c>
      <c r="C5" s="94"/>
      <c r="D5" s="95"/>
      <c r="E5" s="95"/>
      <c r="F5" s="95"/>
    </row>
    <row r="6" spans="1:7" ht="20.100000000000001" customHeight="1" x14ac:dyDescent="0.25">
      <c r="A6" s="132"/>
      <c r="B6" s="135"/>
      <c r="C6" s="132"/>
      <c r="D6" s="132"/>
      <c r="E6" s="132"/>
      <c r="F6" s="132"/>
    </row>
    <row r="7" spans="1:7" ht="20.100000000000001" customHeight="1" x14ac:dyDescent="0.25">
      <c r="A7" s="588" t="s">
        <v>1105</v>
      </c>
      <c r="B7" s="590" t="s">
        <v>0</v>
      </c>
      <c r="C7" s="588" t="s">
        <v>1</v>
      </c>
      <c r="D7" s="588" t="s">
        <v>2</v>
      </c>
      <c r="E7" s="588" t="s">
        <v>1148</v>
      </c>
      <c r="F7" s="588" t="s">
        <v>1157</v>
      </c>
      <c r="G7" s="586"/>
    </row>
    <row r="8" spans="1:7" ht="20.100000000000001" customHeight="1" x14ac:dyDescent="0.25">
      <c r="A8" s="589"/>
      <c r="B8" s="591"/>
      <c r="C8" s="589"/>
      <c r="D8" s="589"/>
      <c r="E8" s="589"/>
      <c r="F8" s="589"/>
      <c r="G8" s="586"/>
    </row>
    <row r="9" spans="1:7" ht="20.100000000000001" customHeight="1" x14ac:dyDescent="0.25">
      <c r="A9" s="198"/>
      <c r="B9" s="136"/>
      <c r="C9" s="140"/>
      <c r="D9" s="140"/>
      <c r="E9" s="200"/>
      <c r="F9" s="201"/>
    </row>
    <row r="10" spans="1:7" ht="20.100000000000001" customHeight="1" x14ac:dyDescent="0.25">
      <c r="A10" s="223" t="s">
        <v>1124</v>
      </c>
      <c r="B10" s="224" t="str">
        <f t="shared" ref="B10:B15" si="0">IFERROR(VLOOKUP(A10,Tabla_Datos,2,FALSE),0)</f>
        <v>DEPARTAMENTOS</v>
      </c>
      <c r="C10" s="225"/>
      <c r="D10" s="226"/>
      <c r="E10" s="227"/>
      <c r="F10" s="227"/>
    </row>
    <row r="11" spans="1:7" ht="20.100000000000001" customHeight="1" x14ac:dyDescent="0.25">
      <c r="A11" s="484">
        <v>1</v>
      </c>
      <c r="B11" s="454" t="str">
        <f t="shared" si="0"/>
        <v xml:space="preserve">TRABAJOS PRELIMINARES </v>
      </c>
      <c r="C11" s="455">
        <f t="shared" ref="C11:C15" si="1">IFERROR(VLOOKUP(A11,Tabla_Datos,3,FALSE),0)</f>
        <v>0</v>
      </c>
      <c r="D11" s="485"/>
      <c r="E11" s="487">
        <f t="shared" ref="E11:E15" si="2">IFERROR(VLOOKUP(A11,Tabla_Comp_Presup,7,FALSE),0)</f>
        <v>0</v>
      </c>
      <c r="F11" s="487">
        <f t="shared" ref="F11:F15" si="3">ROUND(D11*E11,15)</f>
        <v>0</v>
      </c>
    </row>
    <row r="12" spans="1:7" ht="20.100000000000001" customHeight="1" x14ac:dyDescent="0.25">
      <c r="A12" s="484" t="s">
        <v>1281</v>
      </c>
      <c r="B12" s="454" t="str">
        <f t="shared" si="0"/>
        <v>Limpieza general, incluye desmalezamiento, demolición de construcciones existentes</v>
      </c>
      <c r="C12" s="455" t="str">
        <f t="shared" si="1"/>
        <v>m2</v>
      </c>
      <c r="D12" s="485">
        <v>93.88</v>
      </c>
      <c r="E12" s="487">
        <f t="shared" si="2"/>
        <v>0</v>
      </c>
      <c r="F12" s="487">
        <f t="shared" si="3"/>
        <v>0</v>
      </c>
    </row>
    <row r="13" spans="1:7" ht="20.100000000000001" customHeight="1" x14ac:dyDescent="0.25">
      <c r="A13" s="484">
        <v>2</v>
      </c>
      <c r="B13" s="454" t="str">
        <f t="shared" si="0"/>
        <v>MOVIMIENTO DE SUELOS</v>
      </c>
      <c r="C13" s="455">
        <f t="shared" si="1"/>
        <v>0</v>
      </c>
      <c r="D13" s="485"/>
      <c r="E13" s="487">
        <f t="shared" si="2"/>
        <v>0</v>
      </c>
      <c r="F13" s="487">
        <f t="shared" si="3"/>
        <v>0</v>
      </c>
    </row>
    <row r="14" spans="1:7" ht="20.100000000000001" customHeight="1" x14ac:dyDescent="0.25">
      <c r="A14" s="484" t="s">
        <v>1282</v>
      </c>
      <c r="B14" s="454" t="str">
        <f t="shared" si="0"/>
        <v>Excavación para fundaciones</v>
      </c>
      <c r="C14" s="455" t="str">
        <f t="shared" si="1"/>
        <v>m3</v>
      </c>
      <c r="D14" s="485">
        <v>12.53</v>
      </c>
      <c r="E14" s="487">
        <f t="shared" si="2"/>
        <v>0</v>
      </c>
      <c r="F14" s="487">
        <f t="shared" si="3"/>
        <v>0</v>
      </c>
    </row>
    <row r="15" spans="1:7" ht="20.100000000000001" customHeight="1" x14ac:dyDescent="0.25">
      <c r="A15" s="484" t="s">
        <v>1336</v>
      </c>
      <c r="B15" s="454" t="str">
        <f t="shared" si="0"/>
        <v>Excavacion de Subsuelo</v>
      </c>
      <c r="C15" s="455" t="str">
        <f t="shared" si="1"/>
        <v>m3</v>
      </c>
      <c r="D15" s="485">
        <v>110.78</v>
      </c>
      <c r="E15" s="487">
        <f t="shared" si="2"/>
        <v>0</v>
      </c>
      <c r="F15" s="487">
        <f t="shared" si="3"/>
        <v>0</v>
      </c>
    </row>
    <row r="16" spans="1:7" ht="20.100000000000001" customHeight="1" x14ac:dyDescent="0.25">
      <c r="A16" s="484">
        <v>3</v>
      </c>
      <c r="B16" s="454" t="str">
        <f t="shared" ref="B16:B84" si="4">IFERROR(VLOOKUP(A16,Tabla_Datos,2,FALSE),0)</f>
        <v>FUNDACIONES</v>
      </c>
      <c r="C16" s="455">
        <f t="shared" ref="C16:C84" si="5">IFERROR(VLOOKUP(A16,Tabla_Datos,3,FALSE),0)</f>
        <v>0</v>
      </c>
      <c r="D16" s="485"/>
      <c r="E16" s="487">
        <f t="shared" ref="E16:E84" si="6">IFERROR(VLOOKUP(A16,Tabla_Comp_Presup,7,FALSE),0)</f>
        <v>0</v>
      </c>
      <c r="F16" s="487">
        <f t="shared" ref="F16:F84" si="7">ROUND(D16*E16,15)</f>
        <v>0</v>
      </c>
    </row>
    <row r="17" spans="1:6" ht="20.100000000000001" customHeight="1" x14ac:dyDescent="0.25">
      <c r="A17" s="484" t="s">
        <v>1298</v>
      </c>
      <c r="B17" s="454" t="str">
        <f t="shared" si="4"/>
        <v>Hº - Bases aisladas y vigas de arriostramiento</v>
      </c>
      <c r="C17" s="455" t="str">
        <f t="shared" si="5"/>
        <v>m3</v>
      </c>
      <c r="D17" s="485">
        <v>11.99</v>
      </c>
      <c r="E17" s="487">
        <f t="shared" si="6"/>
        <v>0</v>
      </c>
      <c r="F17" s="487">
        <f t="shared" si="7"/>
        <v>0</v>
      </c>
    </row>
    <row r="18" spans="1:6" ht="20.100000000000001" customHeight="1" x14ac:dyDescent="0.25">
      <c r="A18" s="484" t="s">
        <v>1299</v>
      </c>
      <c r="B18" s="454" t="str">
        <f t="shared" si="4"/>
        <v>Aº - Bases aisladas y vigas de arriostramiento</v>
      </c>
      <c r="C18" s="455" t="str">
        <f t="shared" si="5"/>
        <v>kg</v>
      </c>
      <c r="D18" s="485">
        <v>908.57</v>
      </c>
      <c r="E18" s="487">
        <f t="shared" si="6"/>
        <v>0</v>
      </c>
      <c r="F18" s="487">
        <f t="shared" si="7"/>
        <v>0</v>
      </c>
    </row>
    <row r="19" spans="1:6" ht="20.100000000000001" customHeight="1" x14ac:dyDescent="0.25">
      <c r="A19" s="484">
        <v>4</v>
      </c>
      <c r="B19" s="454" t="str">
        <f t="shared" si="4"/>
        <v>ESTRUCTURA RESISTENTE</v>
      </c>
      <c r="C19" s="455">
        <f t="shared" si="5"/>
        <v>0</v>
      </c>
      <c r="D19" s="485"/>
      <c r="E19" s="487">
        <f t="shared" si="6"/>
        <v>0</v>
      </c>
      <c r="F19" s="487">
        <f t="shared" si="7"/>
        <v>0</v>
      </c>
    </row>
    <row r="20" spans="1:6" ht="20.100000000000001" customHeight="1" x14ac:dyDescent="0.25">
      <c r="A20" s="484" t="s">
        <v>1300</v>
      </c>
      <c r="B20" s="454" t="str">
        <f t="shared" si="4"/>
        <v>Replanteo y niveles</v>
      </c>
      <c r="C20" s="455" t="str">
        <f t="shared" si="5"/>
        <v>gl</v>
      </c>
      <c r="D20" s="485">
        <v>4.08163E-2</v>
      </c>
      <c r="E20" s="487">
        <f t="shared" si="6"/>
        <v>0</v>
      </c>
      <c r="F20" s="487">
        <f t="shared" si="7"/>
        <v>0</v>
      </c>
    </row>
    <row r="21" spans="1:6" ht="20.100000000000001" customHeight="1" x14ac:dyDescent="0.25">
      <c r="A21" s="484" t="s">
        <v>1301</v>
      </c>
      <c r="B21" s="454" t="str">
        <f t="shared" si="4"/>
        <v>Hormigon para Losas H-21</v>
      </c>
      <c r="C21" s="455" t="str">
        <f t="shared" si="5"/>
        <v>m3</v>
      </c>
      <c r="D21" s="485">
        <v>21.58</v>
      </c>
      <c r="E21" s="487">
        <f t="shared" si="6"/>
        <v>0</v>
      </c>
      <c r="F21" s="487">
        <f t="shared" si="7"/>
        <v>0</v>
      </c>
    </row>
    <row r="22" spans="1:6" ht="20.100000000000001" customHeight="1" x14ac:dyDescent="0.25">
      <c r="A22" s="484" t="s">
        <v>1302</v>
      </c>
      <c r="B22" s="454" t="str">
        <f t="shared" si="4"/>
        <v>Hormigon resistente H-30</v>
      </c>
      <c r="C22" s="455" t="str">
        <f t="shared" si="5"/>
        <v>m3</v>
      </c>
      <c r="D22" s="485">
        <v>48.3</v>
      </c>
      <c r="E22" s="487">
        <f t="shared" si="6"/>
        <v>0</v>
      </c>
      <c r="F22" s="487">
        <f t="shared" si="7"/>
        <v>0</v>
      </c>
    </row>
    <row r="23" spans="1:6" ht="20.100000000000001" customHeight="1" x14ac:dyDescent="0.25">
      <c r="A23" s="484" t="s">
        <v>1303</v>
      </c>
      <c r="B23" s="454" t="str">
        <f t="shared" si="4"/>
        <v>Hormigon para encadenados H-17</v>
      </c>
      <c r="C23" s="455" t="str">
        <f t="shared" si="5"/>
        <v>m3</v>
      </c>
      <c r="D23" s="485">
        <v>1.02</v>
      </c>
      <c r="E23" s="487">
        <f t="shared" si="6"/>
        <v>0</v>
      </c>
      <c r="F23" s="487">
        <f t="shared" si="7"/>
        <v>0</v>
      </c>
    </row>
    <row r="24" spans="1:6" ht="20.100000000000001" customHeight="1" x14ac:dyDescent="0.25">
      <c r="A24" s="484" t="s">
        <v>1510</v>
      </c>
      <c r="B24" s="454" t="str">
        <f t="shared" ref="B24:B30" si="8">IFERROR(VLOOKUP(A24,Tabla_Datos,2,FALSE),0)</f>
        <v>Hormigon para escaleras exteriores</v>
      </c>
      <c r="C24" s="455" t="str">
        <f t="shared" ref="C24:C30" si="9">IFERROR(VLOOKUP(A24,Tabla_Datos,3,FALSE),0)</f>
        <v>m3</v>
      </c>
      <c r="D24" s="485">
        <v>0.25</v>
      </c>
      <c r="E24" s="487">
        <f t="shared" ref="E24:E30" si="10">IFERROR(VLOOKUP(A24,Tabla_Comp_Presup,7,FALSE),0)</f>
        <v>0</v>
      </c>
      <c r="F24" s="487">
        <f t="shared" ref="F24:F30" si="11">ROUND(D24*E24,15)</f>
        <v>0</v>
      </c>
    </row>
    <row r="25" spans="1:6" ht="20.100000000000001" customHeight="1" x14ac:dyDescent="0.25">
      <c r="A25" s="484" t="s">
        <v>1511</v>
      </c>
      <c r="B25" s="454" t="str">
        <f t="shared" si="8"/>
        <v>Acero para losas</v>
      </c>
      <c r="C25" s="455" t="str">
        <f t="shared" si="9"/>
        <v>kg</v>
      </c>
      <c r="D25" s="485">
        <v>887.67</v>
      </c>
      <c r="E25" s="487">
        <f t="shared" si="10"/>
        <v>0</v>
      </c>
      <c r="F25" s="487">
        <f t="shared" si="11"/>
        <v>0</v>
      </c>
    </row>
    <row r="26" spans="1:6" ht="20.100000000000001" customHeight="1" x14ac:dyDescent="0.25">
      <c r="A26" s="484" t="s">
        <v>1512</v>
      </c>
      <c r="B26" s="454" t="str">
        <f t="shared" si="8"/>
        <v>Acero para vigas</v>
      </c>
      <c r="C26" s="455" t="str">
        <f t="shared" si="9"/>
        <v>kg</v>
      </c>
      <c r="D26" s="485">
        <v>5366.96</v>
      </c>
      <c r="E26" s="487">
        <f t="shared" si="10"/>
        <v>0</v>
      </c>
      <c r="F26" s="487">
        <f t="shared" si="11"/>
        <v>0</v>
      </c>
    </row>
    <row r="27" spans="1:6" ht="20.100000000000001" customHeight="1" x14ac:dyDescent="0.25">
      <c r="A27" s="484" t="s">
        <v>1513</v>
      </c>
      <c r="B27" s="454" t="str">
        <f t="shared" si="8"/>
        <v>Acero para columnas</v>
      </c>
      <c r="C27" s="455" t="str">
        <f t="shared" si="9"/>
        <v>kg</v>
      </c>
      <c r="D27" s="485">
        <v>2025.04</v>
      </c>
      <c r="E27" s="487">
        <f t="shared" si="10"/>
        <v>0</v>
      </c>
      <c r="F27" s="487">
        <f t="shared" si="11"/>
        <v>0</v>
      </c>
    </row>
    <row r="28" spans="1:6" ht="20.100000000000001" customHeight="1" x14ac:dyDescent="0.25">
      <c r="A28" s="484" t="s">
        <v>1514</v>
      </c>
      <c r="B28" s="454" t="str">
        <f t="shared" si="8"/>
        <v>Acero para escaleras exteriores</v>
      </c>
      <c r="C28" s="455" t="str">
        <f t="shared" si="9"/>
        <v>kg</v>
      </c>
      <c r="D28" s="485">
        <v>50.02</v>
      </c>
      <c r="E28" s="487">
        <f t="shared" si="10"/>
        <v>0</v>
      </c>
      <c r="F28" s="487">
        <f t="shared" si="11"/>
        <v>0</v>
      </c>
    </row>
    <row r="29" spans="1:6" ht="20.100000000000001" customHeight="1" x14ac:dyDescent="0.25">
      <c r="A29" s="484" t="s">
        <v>1515</v>
      </c>
      <c r="B29" s="454" t="str">
        <f t="shared" si="8"/>
        <v>estructura metalica de espacios comunes y chapa exterior</v>
      </c>
      <c r="C29" s="455" t="str">
        <f t="shared" si="9"/>
        <v>kg</v>
      </c>
      <c r="D29" s="485">
        <v>418.37</v>
      </c>
      <c r="E29" s="487">
        <f t="shared" si="10"/>
        <v>0</v>
      </c>
      <c r="F29" s="487">
        <f t="shared" si="11"/>
        <v>0</v>
      </c>
    </row>
    <row r="30" spans="1:6" ht="20.100000000000001" customHeight="1" x14ac:dyDescent="0.25">
      <c r="A30" s="484" t="s">
        <v>1516</v>
      </c>
      <c r="B30" s="454" t="str">
        <f t="shared" si="8"/>
        <v>chapa lisa en gabinetes</v>
      </c>
      <c r="C30" s="455" t="str">
        <f t="shared" si="9"/>
        <v>kg</v>
      </c>
      <c r="D30" s="485">
        <v>4.49</v>
      </c>
      <c r="E30" s="487">
        <f t="shared" si="10"/>
        <v>0</v>
      </c>
      <c r="F30" s="487">
        <f t="shared" si="11"/>
        <v>0</v>
      </c>
    </row>
    <row r="31" spans="1:6" ht="20.100000000000001" customHeight="1" x14ac:dyDescent="0.25">
      <c r="A31" s="484" t="s">
        <v>1519</v>
      </c>
      <c r="B31" s="454" t="str">
        <f t="shared" ref="B31" si="12">IFERROR(VLOOKUP(A31,Tabla_Datos,2,FALSE),0)</f>
        <v xml:space="preserve">chapa micro perforada </v>
      </c>
      <c r="C31" s="455" t="str">
        <f t="shared" ref="C31" si="13">IFERROR(VLOOKUP(A31,Tabla_Datos,3,FALSE),0)</f>
        <v>kg</v>
      </c>
      <c r="D31" s="485">
        <v>44.9</v>
      </c>
      <c r="E31" s="487">
        <f t="shared" ref="E31" si="14">IFERROR(VLOOKUP(A31,Tabla_Comp_Presup,7,FALSE),0)</f>
        <v>0</v>
      </c>
      <c r="F31" s="487">
        <f t="shared" ref="F31" si="15">ROUND(D31*E31,15)</f>
        <v>0</v>
      </c>
    </row>
    <row r="32" spans="1:6" ht="20.100000000000001" customHeight="1" x14ac:dyDescent="0.25">
      <c r="A32" s="484">
        <v>5</v>
      </c>
      <c r="B32" s="454" t="str">
        <f t="shared" si="4"/>
        <v>ALBAÑILERÍA | CERRAMIENTOS VERTICALES</v>
      </c>
      <c r="C32" s="455">
        <f t="shared" si="5"/>
        <v>0</v>
      </c>
      <c r="D32" s="485"/>
      <c r="E32" s="487">
        <f t="shared" si="6"/>
        <v>0</v>
      </c>
      <c r="F32" s="487">
        <f t="shared" si="7"/>
        <v>0</v>
      </c>
    </row>
    <row r="33" spans="1:6" ht="20.100000000000001" customHeight="1" x14ac:dyDescent="0.25">
      <c r="A33" s="484" t="s">
        <v>1304</v>
      </c>
      <c r="B33" s="454" t="str">
        <f t="shared" si="4"/>
        <v>Mampostería interior - Tabique Liviano</v>
      </c>
      <c r="C33" s="455" t="str">
        <f t="shared" si="5"/>
        <v>m2</v>
      </c>
      <c r="D33" s="485">
        <v>39.14</v>
      </c>
      <c r="E33" s="487">
        <f t="shared" si="6"/>
        <v>0</v>
      </c>
      <c r="F33" s="487">
        <f t="shared" si="7"/>
        <v>0</v>
      </c>
    </row>
    <row r="34" spans="1:6" ht="20.100000000000001" customHeight="1" x14ac:dyDescent="0.25">
      <c r="A34" s="484" t="s">
        <v>1305</v>
      </c>
      <c r="B34" s="454" t="str">
        <f t="shared" si="4"/>
        <v>Mampostería exterior -  Muro de ladrillo ceramico hueco</v>
      </c>
      <c r="C34" s="455" t="str">
        <f t="shared" si="5"/>
        <v>m2</v>
      </c>
      <c r="D34" s="485">
        <v>68.64</v>
      </c>
      <c r="E34" s="487">
        <f t="shared" si="6"/>
        <v>0</v>
      </c>
      <c r="F34" s="487">
        <f t="shared" si="7"/>
        <v>0</v>
      </c>
    </row>
    <row r="35" spans="1:6" ht="20.100000000000001" customHeight="1" x14ac:dyDescent="0.25">
      <c r="A35" s="484">
        <v>6</v>
      </c>
      <c r="B35" s="454" t="str">
        <f t="shared" si="4"/>
        <v>AISLACIONES Y REVOQUES</v>
      </c>
      <c r="C35" s="455">
        <f t="shared" si="5"/>
        <v>0</v>
      </c>
      <c r="D35" s="485"/>
      <c r="E35" s="487">
        <f t="shared" si="6"/>
        <v>0</v>
      </c>
      <c r="F35" s="487">
        <f t="shared" si="7"/>
        <v>0</v>
      </c>
    </row>
    <row r="36" spans="1:6" ht="20.100000000000001" customHeight="1" x14ac:dyDescent="0.25">
      <c r="A36" s="484" t="s">
        <v>1306</v>
      </c>
      <c r="B36" s="454" t="str">
        <f t="shared" si="4"/>
        <v>Aislación hidrófuga horizontal en muros PB (cajón)</v>
      </c>
      <c r="C36" s="455" t="str">
        <f t="shared" si="5"/>
        <v>m2</v>
      </c>
      <c r="D36" s="485">
        <v>6.17</v>
      </c>
      <c r="E36" s="487">
        <f t="shared" si="6"/>
        <v>0</v>
      </c>
      <c r="F36" s="487">
        <f t="shared" si="7"/>
        <v>0</v>
      </c>
    </row>
    <row r="37" spans="1:6" ht="20.100000000000001" customHeight="1" x14ac:dyDescent="0.25">
      <c r="A37" s="484" t="s">
        <v>1307</v>
      </c>
      <c r="B37" s="454" t="str">
        <f t="shared" si="4"/>
        <v>Revoque grueso bajo revestimiento en locales húmedos</v>
      </c>
      <c r="C37" s="455" t="str">
        <f t="shared" si="5"/>
        <v>m2</v>
      </c>
      <c r="D37" s="485">
        <v>4.7140000000000004</v>
      </c>
      <c r="E37" s="487">
        <f t="shared" si="6"/>
        <v>0</v>
      </c>
      <c r="F37" s="487">
        <f t="shared" si="7"/>
        <v>0</v>
      </c>
    </row>
    <row r="38" spans="1:6" ht="20.100000000000001" customHeight="1" x14ac:dyDescent="0.25">
      <c r="A38" s="484" t="s">
        <v>1308</v>
      </c>
      <c r="B38" s="454" t="str">
        <f t="shared" si="4"/>
        <v xml:space="preserve">Revoque  y enlucido interior </v>
      </c>
      <c r="C38" s="455" t="str">
        <f t="shared" si="5"/>
        <v>m2</v>
      </c>
      <c r="D38" s="485">
        <v>81.757800000000003</v>
      </c>
      <c r="E38" s="487">
        <f t="shared" si="6"/>
        <v>0</v>
      </c>
      <c r="F38" s="487">
        <f t="shared" si="7"/>
        <v>0</v>
      </c>
    </row>
    <row r="39" spans="1:6" ht="20.100000000000001" customHeight="1" x14ac:dyDescent="0.25">
      <c r="A39" s="484" t="s">
        <v>1309</v>
      </c>
      <c r="B39" s="454" t="str">
        <f t="shared" si="4"/>
        <v>Revoque exterior</v>
      </c>
      <c r="C39" s="455" t="str">
        <f t="shared" si="5"/>
        <v>m2</v>
      </c>
      <c r="D39" s="485">
        <v>63.398000000000003</v>
      </c>
      <c r="E39" s="487">
        <f t="shared" si="6"/>
        <v>0</v>
      </c>
      <c r="F39" s="487">
        <f t="shared" si="7"/>
        <v>0</v>
      </c>
    </row>
    <row r="40" spans="1:6" ht="20.100000000000001" customHeight="1" x14ac:dyDescent="0.25">
      <c r="A40" s="484">
        <v>7</v>
      </c>
      <c r="B40" s="454" t="str">
        <f t="shared" si="4"/>
        <v>REVESTIMIENTOS</v>
      </c>
      <c r="C40" s="455">
        <f t="shared" si="5"/>
        <v>0</v>
      </c>
      <c r="D40" s="485"/>
      <c r="E40" s="487">
        <f t="shared" si="6"/>
        <v>0</v>
      </c>
      <c r="F40" s="487">
        <f t="shared" si="7"/>
        <v>0</v>
      </c>
    </row>
    <row r="41" spans="1:6" ht="20.100000000000001" customHeight="1" x14ac:dyDescent="0.25">
      <c r="A41" s="484" t="s">
        <v>1310</v>
      </c>
      <c r="B41" s="454" t="str">
        <f t="shared" si="4"/>
        <v>Cerámico Cocina y baño</v>
      </c>
      <c r="C41" s="455" t="str">
        <f t="shared" si="5"/>
        <v>m2</v>
      </c>
      <c r="D41" s="485">
        <v>21.76</v>
      </c>
      <c r="E41" s="487">
        <f t="shared" si="6"/>
        <v>0</v>
      </c>
      <c r="F41" s="487">
        <f t="shared" si="7"/>
        <v>0</v>
      </c>
    </row>
    <row r="42" spans="1:6" ht="20.100000000000001" customHeight="1" x14ac:dyDescent="0.25">
      <c r="A42" s="484">
        <v>8</v>
      </c>
      <c r="B42" s="454" t="str">
        <f t="shared" si="4"/>
        <v>PINTURA</v>
      </c>
      <c r="C42" s="455">
        <f t="shared" si="5"/>
        <v>0</v>
      </c>
      <c r="D42" s="485"/>
      <c r="E42" s="487">
        <f t="shared" si="6"/>
        <v>0</v>
      </c>
      <c r="F42" s="487">
        <f t="shared" si="7"/>
        <v>0</v>
      </c>
    </row>
    <row r="43" spans="1:6" ht="20.100000000000001" customHeight="1" x14ac:dyDescent="0.25">
      <c r="A43" s="484" t="s">
        <v>1311</v>
      </c>
      <c r="B43" s="454" t="str">
        <f t="shared" si="4"/>
        <v>Pintura al látex en muros</v>
      </c>
      <c r="C43" s="455" t="str">
        <f t="shared" si="5"/>
        <v>m2</v>
      </c>
      <c r="D43" s="485">
        <v>160.03</v>
      </c>
      <c r="E43" s="487">
        <f t="shared" si="6"/>
        <v>0</v>
      </c>
      <c r="F43" s="487">
        <f t="shared" si="7"/>
        <v>0</v>
      </c>
    </row>
    <row r="44" spans="1:6" ht="20.100000000000001" customHeight="1" x14ac:dyDescent="0.25">
      <c r="A44" s="484" t="s">
        <v>1312</v>
      </c>
      <c r="B44" s="454" t="str">
        <f t="shared" si="4"/>
        <v>Pintura al látex en cielorrasos</v>
      </c>
      <c r="C44" s="455" t="str">
        <f t="shared" si="5"/>
        <v>m2</v>
      </c>
      <c r="D44" s="485">
        <v>85.67</v>
      </c>
      <c r="E44" s="487">
        <f t="shared" si="6"/>
        <v>0</v>
      </c>
      <c r="F44" s="487">
        <f t="shared" si="7"/>
        <v>0</v>
      </c>
    </row>
    <row r="45" spans="1:6" ht="20.100000000000001" customHeight="1" x14ac:dyDescent="0.25">
      <c r="A45" s="484" t="s">
        <v>1313</v>
      </c>
      <c r="B45" s="454" t="str">
        <f t="shared" si="4"/>
        <v xml:space="preserve">Pintura látex antihongos                                                                                                                                                                   </v>
      </c>
      <c r="C45" s="455" t="str">
        <f t="shared" si="5"/>
        <v>m2</v>
      </c>
      <c r="D45" s="485">
        <v>3.87</v>
      </c>
      <c r="E45" s="487">
        <f t="shared" si="6"/>
        <v>0</v>
      </c>
      <c r="F45" s="487">
        <f t="shared" si="7"/>
        <v>0</v>
      </c>
    </row>
    <row r="46" spans="1:6" ht="20.100000000000001" customHeight="1" x14ac:dyDescent="0.25">
      <c r="A46" s="484" t="s">
        <v>1314</v>
      </c>
      <c r="B46" s="454" t="str">
        <f t="shared" si="4"/>
        <v>Pintura al látex exterioren muros</v>
      </c>
      <c r="C46" s="455" t="str">
        <f t="shared" si="5"/>
        <v>m2</v>
      </c>
      <c r="D46" s="485">
        <v>63.36</v>
      </c>
      <c r="E46" s="487">
        <f t="shared" si="6"/>
        <v>0</v>
      </c>
      <c r="F46" s="487">
        <f t="shared" si="7"/>
        <v>0</v>
      </c>
    </row>
    <row r="47" spans="1:6" ht="20.100000000000001" customHeight="1" x14ac:dyDescent="0.25">
      <c r="A47" s="484" t="s">
        <v>1315</v>
      </c>
      <c r="B47" s="454" t="str">
        <f t="shared" si="4"/>
        <v>Pintura esmalte sintético carpinterías de chapa</v>
      </c>
      <c r="C47" s="455" t="str">
        <f t="shared" si="5"/>
        <v>gl</v>
      </c>
      <c r="D47" s="485">
        <v>1</v>
      </c>
      <c r="E47" s="487">
        <f t="shared" si="6"/>
        <v>0</v>
      </c>
      <c r="F47" s="487">
        <f t="shared" si="7"/>
        <v>0</v>
      </c>
    </row>
    <row r="48" spans="1:6" ht="20.100000000000001" customHeight="1" x14ac:dyDescent="0.25">
      <c r="A48" s="484" t="s">
        <v>1316</v>
      </c>
      <c r="B48" s="454" t="str">
        <f t="shared" si="4"/>
        <v>Pintura esmalte sintético carpinterías de madera</v>
      </c>
      <c r="C48" s="455" t="str">
        <f t="shared" si="5"/>
        <v>gl</v>
      </c>
      <c r="D48" s="485">
        <v>1</v>
      </c>
      <c r="E48" s="487">
        <f t="shared" si="6"/>
        <v>0</v>
      </c>
      <c r="F48" s="487">
        <f t="shared" si="7"/>
        <v>0</v>
      </c>
    </row>
    <row r="49" spans="1:6" ht="20.100000000000001" customHeight="1" x14ac:dyDescent="0.25">
      <c r="A49" s="484">
        <v>9</v>
      </c>
      <c r="B49" s="454" t="str">
        <f t="shared" si="4"/>
        <v>CONTRAPISOS y CARPETAS</v>
      </c>
      <c r="C49" s="455">
        <f t="shared" si="5"/>
        <v>0</v>
      </c>
      <c r="D49" s="485"/>
      <c r="E49" s="487">
        <f t="shared" si="6"/>
        <v>0</v>
      </c>
      <c r="F49" s="487">
        <f t="shared" si="7"/>
        <v>0</v>
      </c>
    </row>
    <row r="50" spans="1:6" ht="20.100000000000001" customHeight="1" x14ac:dyDescent="0.25">
      <c r="A50" s="484" t="s">
        <v>1328</v>
      </c>
      <c r="B50" s="454" t="str">
        <f t="shared" si="4"/>
        <v xml:space="preserve">Contrapiso sobre losa de HºPº esp= 8cm </v>
      </c>
      <c r="C50" s="455" t="str">
        <f t="shared" si="5"/>
        <v>m2</v>
      </c>
      <c r="D50" s="485">
        <v>137.35</v>
      </c>
      <c r="E50" s="487">
        <f t="shared" si="6"/>
        <v>0</v>
      </c>
      <c r="F50" s="487">
        <f t="shared" si="7"/>
        <v>0</v>
      </c>
    </row>
    <row r="51" spans="1:6" ht="20.100000000000001" customHeight="1" x14ac:dyDescent="0.25">
      <c r="A51" s="484" t="s">
        <v>1329</v>
      </c>
      <c r="B51" s="454" t="str">
        <f t="shared" si="4"/>
        <v>Contrapiso para terrazas o azoteas con pendiente según documentación de Proyecto</v>
      </c>
      <c r="C51" s="455" t="str">
        <f t="shared" si="5"/>
        <v>m2</v>
      </c>
      <c r="D51" s="485">
        <v>4.59</v>
      </c>
      <c r="E51" s="487">
        <f t="shared" si="6"/>
        <v>0</v>
      </c>
      <c r="F51" s="487">
        <f t="shared" si="7"/>
        <v>0</v>
      </c>
    </row>
    <row r="52" spans="1:6" ht="20.100000000000001" customHeight="1" x14ac:dyDescent="0.25">
      <c r="A52" s="484" t="s">
        <v>1330</v>
      </c>
      <c r="B52" s="454" t="str">
        <f t="shared" si="4"/>
        <v>Banquina bajo mueble de cocina</v>
      </c>
      <c r="C52" s="455" t="str">
        <f t="shared" si="5"/>
        <v>m2</v>
      </c>
      <c r="D52" s="485">
        <v>1.79</v>
      </c>
      <c r="E52" s="487">
        <f t="shared" si="6"/>
        <v>0</v>
      </c>
      <c r="F52" s="487">
        <f t="shared" si="7"/>
        <v>0</v>
      </c>
    </row>
    <row r="53" spans="1:6" ht="20.100000000000001" customHeight="1" x14ac:dyDescent="0.25">
      <c r="A53" s="484" t="s">
        <v>1331</v>
      </c>
      <c r="B53" s="454" t="str">
        <f t="shared" si="4"/>
        <v xml:space="preserve">Carpeta bajo ceramico </v>
      </c>
      <c r="C53" s="455" t="str">
        <f t="shared" si="5"/>
        <v>m2</v>
      </c>
      <c r="D53" s="485">
        <v>85.67</v>
      </c>
      <c r="E53" s="487">
        <f t="shared" si="6"/>
        <v>0</v>
      </c>
      <c r="F53" s="487">
        <f t="shared" si="7"/>
        <v>0</v>
      </c>
    </row>
    <row r="54" spans="1:6" ht="20.100000000000001" customHeight="1" x14ac:dyDescent="0.25">
      <c r="A54" s="484">
        <v>10</v>
      </c>
      <c r="B54" s="454" t="str">
        <f t="shared" si="4"/>
        <v xml:space="preserve">PISOS Y ZOCALOS </v>
      </c>
      <c r="C54" s="455">
        <f t="shared" si="5"/>
        <v>0</v>
      </c>
      <c r="D54" s="485"/>
      <c r="E54" s="487">
        <f t="shared" si="6"/>
        <v>0</v>
      </c>
      <c r="F54" s="487">
        <f t="shared" si="7"/>
        <v>0</v>
      </c>
    </row>
    <row r="55" spans="1:6" ht="20.100000000000001" customHeight="1" x14ac:dyDescent="0.25">
      <c r="A55" s="484" t="s">
        <v>1332</v>
      </c>
      <c r="B55" s="454" t="str">
        <f t="shared" si="4"/>
        <v>Piso ceramico de primera calidad</v>
      </c>
      <c r="C55" s="455" t="str">
        <f t="shared" si="5"/>
        <v>m2</v>
      </c>
      <c r="D55" s="485">
        <v>85.676500000000004</v>
      </c>
      <c r="E55" s="487">
        <f t="shared" si="6"/>
        <v>0</v>
      </c>
      <c r="F55" s="487">
        <f t="shared" si="7"/>
        <v>0</v>
      </c>
    </row>
    <row r="56" spans="1:6" ht="20.100000000000001" customHeight="1" x14ac:dyDescent="0.25">
      <c r="A56" s="484" t="s">
        <v>1333</v>
      </c>
      <c r="B56" s="454" t="str">
        <f t="shared" si="4"/>
        <v>Zocalo ceramico</v>
      </c>
      <c r="C56" s="455" t="str">
        <f t="shared" si="5"/>
        <v>ml</v>
      </c>
      <c r="D56" s="485">
        <v>70.77</v>
      </c>
      <c r="E56" s="487">
        <f t="shared" si="6"/>
        <v>0</v>
      </c>
      <c r="F56" s="487">
        <f t="shared" si="7"/>
        <v>0</v>
      </c>
    </row>
    <row r="57" spans="1:6" ht="20.100000000000001" customHeight="1" x14ac:dyDescent="0.25">
      <c r="A57" s="484">
        <v>11</v>
      </c>
      <c r="B57" s="454" t="str">
        <f t="shared" si="4"/>
        <v xml:space="preserve">CIELORRASOS  </v>
      </c>
      <c r="C57" s="455">
        <f t="shared" si="5"/>
        <v>0</v>
      </c>
      <c r="D57" s="485"/>
      <c r="E57" s="487">
        <f t="shared" si="6"/>
        <v>0</v>
      </c>
      <c r="F57" s="487">
        <f t="shared" si="7"/>
        <v>0</v>
      </c>
    </row>
    <row r="58" spans="1:6" ht="20.100000000000001" customHeight="1" x14ac:dyDescent="0.25">
      <c r="A58" s="484" t="s">
        <v>1334</v>
      </c>
      <c r="B58" s="454" t="str">
        <f t="shared" si="4"/>
        <v>Cielorraso aplicado enlucido de yeso</v>
      </c>
      <c r="C58" s="455" t="str">
        <f t="shared" si="5"/>
        <v>m2</v>
      </c>
      <c r="D58" s="485">
        <v>85.676000000000002</v>
      </c>
      <c r="E58" s="487">
        <f t="shared" si="6"/>
        <v>0</v>
      </c>
      <c r="F58" s="487">
        <f t="shared" si="7"/>
        <v>0</v>
      </c>
    </row>
    <row r="59" spans="1:6" ht="20.100000000000001" customHeight="1" x14ac:dyDescent="0.25">
      <c r="A59" s="484" t="s">
        <v>1335</v>
      </c>
      <c r="B59" s="454" t="str">
        <f t="shared" si="4"/>
        <v>Suspendidos de placa de roca de yeso resistente a la humedad ( con proteccion acustica)</v>
      </c>
      <c r="C59" s="455" t="str">
        <f t="shared" si="5"/>
        <v>m2</v>
      </c>
      <c r="D59" s="485">
        <v>3.8769999999999998</v>
      </c>
      <c r="E59" s="487">
        <f t="shared" si="6"/>
        <v>0</v>
      </c>
      <c r="F59" s="487">
        <f t="shared" si="7"/>
        <v>0</v>
      </c>
    </row>
    <row r="60" spans="1:6" ht="20.100000000000001" customHeight="1" x14ac:dyDescent="0.25">
      <c r="A60" s="484">
        <v>12</v>
      </c>
      <c r="B60" s="454" t="str">
        <f t="shared" si="4"/>
        <v xml:space="preserve">CUBIERTA </v>
      </c>
      <c r="C60" s="455">
        <f t="shared" si="5"/>
        <v>0</v>
      </c>
      <c r="D60" s="485"/>
      <c r="E60" s="487">
        <f t="shared" si="6"/>
        <v>0</v>
      </c>
      <c r="F60" s="487">
        <f t="shared" si="7"/>
        <v>0</v>
      </c>
    </row>
    <row r="61" spans="1:6" ht="20.100000000000001" customHeight="1" x14ac:dyDescent="0.25">
      <c r="A61" s="484" t="s">
        <v>1386</v>
      </c>
      <c r="B61" s="454" t="str">
        <f t="shared" si="4"/>
        <v>Hormigón Liviano con Pendiente | esp min 5 cm</v>
      </c>
      <c r="C61" s="455" t="str">
        <f t="shared" si="5"/>
        <v>m2</v>
      </c>
      <c r="D61" s="485">
        <v>17.13</v>
      </c>
      <c r="E61" s="487">
        <f t="shared" si="6"/>
        <v>0</v>
      </c>
      <c r="F61" s="487">
        <f t="shared" si="7"/>
        <v>0</v>
      </c>
    </row>
    <row r="62" spans="1:6" ht="20.100000000000001" customHeight="1" x14ac:dyDescent="0.25">
      <c r="A62" s="484" t="s">
        <v>1387</v>
      </c>
      <c r="B62" s="454" t="str">
        <f t="shared" si="4"/>
        <v>Pintura asfáltica para imprimación de membrana</v>
      </c>
      <c r="C62" s="455" t="str">
        <f t="shared" si="5"/>
        <v>m2</v>
      </c>
      <c r="D62" s="485">
        <v>17.13</v>
      </c>
      <c r="E62" s="487">
        <f t="shared" si="6"/>
        <v>0</v>
      </c>
      <c r="F62" s="487">
        <f t="shared" si="7"/>
        <v>0</v>
      </c>
    </row>
    <row r="63" spans="1:6" ht="20.100000000000001" customHeight="1" x14ac:dyDescent="0.25">
      <c r="A63" s="484" t="s">
        <v>1388</v>
      </c>
      <c r="B63" s="454" t="str">
        <f t="shared" si="4"/>
        <v>Membrana Asfáltica 4mm terminación aluminio gofrado de 40 micrones</v>
      </c>
      <c r="C63" s="455" t="str">
        <f t="shared" si="5"/>
        <v>m2</v>
      </c>
      <c r="D63" s="485">
        <v>17.13</v>
      </c>
      <c r="E63" s="487">
        <f t="shared" si="6"/>
        <v>0</v>
      </c>
      <c r="F63" s="487">
        <f t="shared" si="7"/>
        <v>0</v>
      </c>
    </row>
    <row r="64" spans="1:6" ht="20.100000000000001" customHeight="1" x14ac:dyDescent="0.25">
      <c r="A64" s="484">
        <v>13</v>
      </c>
      <c r="B64" s="454" t="str">
        <f t="shared" si="4"/>
        <v>CARPINTERIAS</v>
      </c>
      <c r="C64" s="455">
        <f t="shared" si="5"/>
        <v>0</v>
      </c>
      <c r="D64" s="485"/>
      <c r="E64" s="487">
        <f t="shared" si="6"/>
        <v>0</v>
      </c>
      <c r="F64" s="487">
        <f t="shared" si="7"/>
        <v>0</v>
      </c>
    </row>
    <row r="65" spans="1:6" ht="20.100000000000001" customHeight="1" x14ac:dyDescent="0.25">
      <c r="A65" s="484" t="s">
        <v>1389</v>
      </c>
      <c r="B65" s="454" t="str">
        <f t="shared" si="4"/>
        <v>Carpinterías interiores de madera</v>
      </c>
      <c r="C65" s="455" t="str">
        <f t="shared" si="5"/>
        <v>u</v>
      </c>
      <c r="D65" s="485">
        <v>3.0612200000000001</v>
      </c>
      <c r="E65" s="487">
        <f t="shared" si="6"/>
        <v>0</v>
      </c>
      <c r="F65" s="487">
        <f t="shared" si="7"/>
        <v>0</v>
      </c>
    </row>
    <row r="66" spans="1:6" ht="20.100000000000001" customHeight="1" x14ac:dyDescent="0.25">
      <c r="A66" s="484" t="s">
        <v>1390</v>
      </c>
      <c r="B66" s="454" t="str">
        <f t="shared" si="4"/>
        <v>Puerta de ingreso a vivienda (2.05 x 0.9)</v>
      </c>
      <c r="C66" s="455" t="str">
        <f t="shared" si="5"/>
        <v>u</v>
      </c>
      <c r="D66" s="485">
        <v>1.020408</v>
      </c>
      <c r="E66" s="487">
        <f t="shared" si="6"/>
        <v>0</v>
      </c>
      <c r="F66" s="487">
        <f t="shared" si="7"/>
        <v>0</v>
      </c>
    </row>
    <row r="67" spans="1:6" ht="20.100000000000001" customHeight="1" x14ac:dyDescent="0.25">
      <c r="A67" s="484" t="s">
        <v>1391</v>
      </c>
      <c r="B67" s="454" t="str">
        <f t="shared" si="4"/>
        <v>Ventanas Tipo C02(2,40 x 1,55)</v>
      </c>
      <c r="C67" s="455" t="str">
        <f t="shared" si="5"/>
        <v>u</v>
      </c>
      <c r="D67" s="485">
        <v>1.020408</v>
      </c>
      <c r="E67" s="487">
        <f t="shared" si="6"/>
        <v>0</v>
      </c>
      <c r="F67" s="487">
        <f t="shared" si="7"/>
        <v>0</v>
      </c>
    </row>
    <row r="68" spans="1:6" ht="20.100000000000001" customHeight="1" x14ac:dyDescent="0.25">
      <c r="A68" s="484" t="s">
        <v>1392</v>
      </c>
      <c r="B68" s="454" t="str">
        <f t="shared" si="4"/>
        <v>Ventanas Tipo C05 (1,20 x 1,55)</v>
      </c>
      <c r="C68" s="455" t="str">
        <f t="shared" si="5"/>
        <v>u</v>
      </c>
      <c r="D68" s="485">
        <v>3.0612249999999999</v>
      </c>
      <c r="E68" s="487">
        <f t="shared" si="6"/>
        <v>0</v>
      </c>
      <c r="F68" s="487">
        <f t="shared" si="7"/>
        <v>0</v>
      </c>
    </row>
    <row r="69" spans="1:6" ht="20.100000000000001" customHeight="1" x14ac:dyDescent="0.25">
      <c r="A69" s="484">
        <v>14</v>
      </c>
      <c r="B69" s="454" t="str">
        <f t="shared" si="4"/>
        <v>MARMOLERÍA</v>
      </c>
      <c r="C69" s="455">
        <f t="shared" si="5"/>
        <v>0</v>
      </c>
      <c r="D69" s="485"/>
      <c r="E69" s="487">
        <f t="shared" si="6"/>
        <v>0</v>
      </c>
      <c r="F69" s="487">
        <f t="shared" si="7"/>
        <v>0</v>
      </c>
    </row>
    <row r="70" spans="1:6" ht="20.100000000000001" customHeight="1" x14ac:dyDescent="0.25">
      <c r="A70" s="484" t="s">
        <v>1393</v>
      </c>
      <c r="B70" s="454" t="str">
        <f t="shared" si="4"/>
        <v>Mesada de cocina en granito</v>
      </c>
      <c r="C70" s="455" t="str">
        <f t="shared" si="5"/>
        <v>m2</v>
      </c>
      <c r="D70" s="485">
        <v>1.6326499999999999</v>
      </c>
      <c r="E70" s="487">
        <f t="shared" si="6"/>
        <v>0</v>
      </c>
      <c r="F70" s="487">
        <f t="shared" si="7"/>
        <v>0</v>
      </c>
    </row>
    <row r="71" spans="1:6" ht="20.100000000000001" customHeight="1" x14ac:dyDescent="0.25">
      <c r="A71" s="484">
        <v>15</v>
      </c>
      <c r="B71" s="454" t="str">
        <f t="shared" si="4"/>
        <v>INSTALACIÓN ELÉCTRICA</v>
      </c>
      <c r="C71" s="455">
        <f t="shared" si="5"/>
        <v>0</v>
      </c>
      <c r="D71" s="485"/>
      <c r="E71" s="487">
        <f t="shared" si="6"/>
        <v>0</v>
      </c>
      <c r="F71" s="487">
        <f t="shared" si="7"/>
        <v>0</v>
      </c>
    </row>
    <row r="72" spans="1:6" ht="20.100000000000001" customHeight="1" x14ac:dyDescent="0.25">
      <c r="A72" s="484" t="s">
        <v>1394</v>
      </c>
      <c r="B72" s="454" t="str">
        <f t="shared" si="4"/>
        <v>Instalación eléctrica</v>
      </c>
      <c r="C72" s="455" t="str">
        <f t="shared" si="5"/>
        <v>gl</v>
      </c>
      <c r="D72" s="485">
        <v>1</v>
      </c>
      <c r="E72" s="487">
        <f t="shared" si="6"/>
        <v>0</v>
      </c>
      <c r="F72" s="487">
        <f t="shared" si="7"/>
        <v>0</v>
      </c>
    </row>
    <row r="73" spans="1:6" ht="20.100000000000001" customHeight="1" x14ac:dyDescent="0.25">
      <c r="A73" s="484" t="s">
        <v>1395</v>
      </c>
      <c r="B73" s="454" t="str">
        <f t="shared" si="4"/>
        <v>Tablero principal</v>
      </c>
      <c r="C73" s="455" t="str">
        <f t="shared" si="5"/>
        <v>gl</v>
      </c>
      <c r="D73" s="485">
        <v>1</v>
      </c>
      <c r="E73" s="487">
        <f t="shared" si="6"/>
        <v>0</v>
      </c>
      <c r="F73" s="487">
        <f t="shared" si="7"/>
        <v>0</v>
      </c>
    </row>
    <row r="74" spans="1:6" ht="20.100000000000001" customHeight="1" x14ac:dyDescent="0.25">
      <c r="A74" s="484" t="s">
        <v>1396</v>
      </c>
      <c r="B74" s="454" t="str">
        <f t="shared" si="4"/>
        <v>Tablero secundarios</v>
      </c>
      <c r="C74" s="455" t="str">
        <f t="shared" si="5"/>
        <v>gl</v>
      </c>
      <c r="D74" s="485">
        <v>1</v>
      </c>
      <c r="E74" s="487">
        <f t="shared" si="6"/>
        <v>0</v>
      </c>
      <c r="F74" s="487">
        <f t="shared" si="7"/>
        <v>0</v>
      </c>
    </row>
    <row r="75" spans="1:6" ht="20.100000000000001" customHeight="1" x14ac:dyDescent="0.25">
      <c r="A75" s="484" t="s">
        <v>1397</v>
      </c>
      <c r="B75" s="454" t="str">
        <f t="shared" si="4"/>
        <v>Bocas iluminación UF</v>
      </c>
      <c r="C75" s="455" t="str">
        <f t="shared" si="5"/>
        <v>gl</v>
      </c>
      <c r="D75" s="485">
        <v>1</v>
      </c>
      <c r="E75" s="487">
        <f t="shared" si="6"/>
        <v>0</v>
      </c>
      <c r="F75" s="487">
        <f t="shared" si="7"/>
        <v>0</v>
      </c>
    </row>
    <row r="76" spans="1:6" ht="20.100000000000001" customHeight="1" x14ac:dyDescent="0.25">
      <c r="A76" s="484" t="s">
        <v>1398</v>
      </c>
      <c r="B76" s="454" t="str">
        <f t="shared" si="4"/>
        <v>Bocas iluminación Uc</v>
      </c>
      <c r="C76" s="455" t="str">
        <f t="shared" si="5"/>
        <v>gl</v>
      </c>
      <c r="D76" s="485">
        <v>1</v>
      </c>
      <c r="E76" s="487">
        <f t="shared" si="6"/>
        <v>0</v>
      </c>
      <c r="F76" s="487">
        <f t="shared" si="7"/>
        <v>0</v>
      </c>
    </row>
    <row r="77" spans="1:6" ht="20.100000000000001" customHeight="1" x14ac:dyDescent="0.25">
      <c r="A77" s="484" t="s">
        <v>1399</v>
      </c>
      <c r="B77" s="454" t="str">
        <f t="shared" si="4"/>
        <v>Boca toma corriente uso común</v>
      </c>
      <c r="C77" s="455" t="str">
        <f t="shared" si="5"/>
        <v>gl</v>
      </c>
      <c r="D77" s="485">
        <v>1</v>
      </c>
      <c r="E77" s="487">
        <f t="shared" si="6"/>
        <v>0</v>
      </c>
      <c r="F77" s="487">
        <f t="shared" si="7"/>
        <v>0</v>
      </c>
    </row>
    <row r="78" spans="1:6" ht="20.100000000000001" customHeight="1" x14ac:dyDescent="0.25">
      <c r="A78" s="484" t="s">
        <v>1400</v>
      </c>
      <c r="B78" s="454" t="str">
        <f t="shared" si="4"/>
        <v>Llaves</v>
      </c>
      <c r="C78" s="455" t="str">
        <f t="shared" si="5"/>
        <v>gl</v>
      </c>
      <c r="D78" s="485">
        <v>1</v>
      </c>
      <c r="E78" s="487">
        <f t="shared" si="6"/>
        <v>0</v>
      </c>
      <c r="F78" s="487">
        <f t="shared" si="7"/>
        <v>0</v>
      </c>
    </row>
    <row r="79" spans="1:6" ht="20.100000000000001" customHeight="1" x14ac:dyDescent="0.25">
      <c r="A79" s="484" t="s">
        <v>1401</v>
      </c>
      <c r="B79" s="454" t="str">
        <f t="shared" si="4"/>
        <v xml:space="preserve">Boca teléfono, timbre, TV y portero </v>
      </c>
      <c r="C79" s="455" t="str">
        <f t="shared" si="5"/>
        <v>gl</v>
      </c>
      <c r="D79" s="485">
        <v>1</v>
      </c>
      <c r="E79" s="487">
        <f t="shared" si="6"/>
        <v>0</v>
      </c>
      <c r="F79" s="487">
        <f t="shared" si="7"/>
        <v>0</v>
      </c>
    </row>
    <row r="80" spans="1:6" ht="20.100000000000001" customHeight="1" x14ac:dyDescent="0.25">
      <c r="A80" s="484" t="s">
        <v>1402</v>
      </c>
      <c r="B80" s="454" t="str">
        <f t="shared" si="4"/>
        <v>Instalacion equipo luz de emergencia en espacios comunes</v>
      </c>
      <c r="C80" s="455" t="str">
        <f t="shared" si="5"/>
        <v>gl</v>
      </c>
      <c r="D80" s="485">
        <v>1</v>
      </c>
      <c r="E80" s="487">
        <f t="shared" si="6"/>
        <v>0</v>
      </c>
      <c r="F80" s="487">
        <f t="shared" si="7"/>
        <v>0</v>
      </c>
    </row>
    <row r="81" spans="1:6" ht="20.100000000000001" customHeight="1" x14ac:dyDescent="0.25">
      <c r="A81" s="484" t="s">
        <v>1403</v>
      </c>
      <c r="B81" s="454" t="str">
        <f t="shared" si="4"/>
        <v>Servicios generales / pat</v>
      </c>
      <c r="C81" s="455" t="str">
        <f t="shared" si="5"/>
        <v>gl</v>
      </c>
      <c r="D81" s="485">
        <v>1</v>
      </c>
      <c r="E81" s="487">
        <f t="shared" si="6"/>
        <v>0</v>
      </c>
      <c r="F81" s="487">
        <f t="shared" si="7"/>
        <v>0</v>
      </c>
    </row>
    <row r="82" spans="1:6" ht="20.100000000000001" customHeight="1" x14ac:dyDescent="0.25">
      <c r="A82" s="484" t="s">
        <v>1404</v>
      </c>
      <c r="B82" s="454" t="str">
        <f t="shared" si="4"/>
        <v>Instalación aire acondicionado</v>
      </c>
      <c r="C82" s="455" t="str">
        <f t="shared" si="5"/>
        <v>gl</v>
      </c>
      <c r="D82" s="485">
        <v>1</v>
      </c>
      <c r="E82" s="487">
        <f t="shared" si="6"/>
        <v>0</v>
      </c>
      <c r="F82" s="487">
        <f t="shared" si="7"/>
        <v>0</v>
      </c>
    </row>
    <row r="83" spans="1:6" ht="20.100000000000001" customHeight="1" x14ac:dyDescent="0.25">
      <c r="A83" s="484" t="s">
        <v>1405</v>
      </c>
      <c r="B83" s="454" t="str">
        <f t="shared" si="4"/>
        <v xml:space="preserve">Artefactos en locales comunes </v>
      </c>
      <c r="C83" s="455" t="str">
        <f t="shared" si="5"/>
        <v>gl</v>
      </c>
      <c r="D83" s="485">
        <v>1</v>
      </c>
      <c r="E83" s="487">
        <f t="shared" si="6"/>
        <v>0</v>
      </c>
      <c r="F83" s="487">
        <f t="shared" si="7"/>
        <v>0</v>
      </c>
    </row>
    <row r="84" spans="1:6" ht="20.100000000000001" customHeight="1" x14ac:dyDescent="0.25">
      <c r="A84" s="484" t="s">
        <v>1406</v>
      </c>
      <c r="B84" s="454" t="str">
        <f t="shared" si="4"/>
        <v>Canalizacion y cableado de comando calefon solar</v>
      </c>
      <c r="C84" s="455" t="str">
        <f t="shared" si="5"/>
        <v>gl</v>
      </c>
      <c r="D84" s="485">
        <v>1</v>
      </c>
      <c r="E84" s="487">
        <f t="shared" si="6"/>
        <v>0</v>
      </c>
      <c r="F84" s="487">
        <f t="shared" si="7"/>
        <v>0</v>
      </c>
    </row>
    <row r="85" spans="1:6" ht="20.100000000000001" customHeight="1" x14ac:dyDescent="0.25">
      <c r="A85" s="484">
        <v>16</v>
      </c>
      <c r="B85" s="454" t="str">
        <f t="shared" ref="B85:B115" si="16">IFERROR(VLOOKUP(A85,Tabla_Datos,2,FALSE),0)</f>
        <v>INSTALACIÓN SANITARIA</v>
      </c>
      <c r="C85" s="455">
        <f t="shared" ref="C85:C115" si="17">IFERROR(VLOOKUP(A85,Tabla_Datos,3,FALSE),0)</f>
        <v>0</v>
      </c>
      <c r="D85" s="485"/>
      <c r="E85" s="487">
        <f t="shared" ref="E85:E115" si="18">IFERROR(VLOOKUP(A85,Tabla_Comp_Presup,7,FALSE),0)</f>
        <v>0</v>
      </c>
      <c r="F85" s="487">
        <f t="shared" ref="F85:F115" si="19">ROUND(D85*E85,15)</f>
        <v>0</v>
      </c>
    </row>
    <row r="86" spans="1:6" ht="20.100000000000001" customHeight="1" x14ac:dyDescent="0.25">
      <c r="A86" s="484" t="s">
        <v>1407</v>
      </c>
      <c r="B86" s="454" t="str">
        <f t="shared" si="16"/>
        <v>Instalación agua fría y caliente</v>
      </c>
      <c r="C86" s="455" t="str">
        <f t="shared" si="17"/>
        <v>gl</v>
      </c>
      <c r="D86" s="485">
        <v>1</v>
      </c>
      <c r="E86" s="487">
        <f t="shared" si="18"/>
        <v>0</v>
      </c>
      <c r="F86" s="487">
        <f t="shared" si="19"/>
        <v>0</v>
      </c>
    </row>
    <row r="87" spans="1:6" ht="20.100000000000001" customHeight="1" x14ac:dyDescent="0.25">
      <c r="A87" s="484" t="s">
        <v>1408</v>
      </c>
      <c r="B87" s="454" t="str">
        <f t="shared" si="16"/>
        <v>Desagües Cloacales</v>
      </c>
      <c r="C87" s="455" t="str">
        <f t="shared" si="17"/>
        <v>gl</v>
      </c>
      <c r="D87" s="485">
        <v>1</v>
      </c>
      <c r="E87" s="487">
        <f t="shared" si="18"/>
        <v>0</v>
      </c>
      <c r="F87" s="487">
        <f t="shared" si="19"/>
        <v>0</v>
      </c>
    </row>
    <row r="88" spans="1:6" ht="20.100000000000001" customHeight="1" x14ac:dyDescent="0.25">
      <c r="A88" s="484" t="s">
        <v>1409</v>
      </c>
      <c r="B88" s="454" t="str">
        <f t="shared" si="16"/>
        <v>Desagües Pluviales</v>
      </c>
      <c r="C88" s="455" t="str">
        <f t="shared" si="17"/>
        <v>gl</v>
      </c>
      <c r="D88" s="485">
        <v>1</v>
      </c>
      <c r="E88" s="487">
        <f t="shared" si="18"/>
        <v>0</v>
      </c>
      <c r="F88" s="487">
        <f t="shared" si="19"/>
        <v>0</v>
      </c>
    </row>
    <row r="89" spans="1:6" ht="20.100000000000001" customHeight="1" x14ac:dyDescent="0.25">
      <c r="A89" s="484" t="s">
        <v>1410</v>
      </c>
      <c r="B89" s="454" t="str">
        <f t="shared" si="16"/>
        <v>Desagüe aire acondicionado</v>
      </c>
      <c r="C89" s="455" t="str">
        <f t="shared" si="17"/>
        <v>gl</v>
      </c>
      <c r="D89" s="485">
        <v>1</v>
      </c>
      <c r="E89" s="487">
        <f t="shared" si="18"/>
        <v>0</v>
      </c>
      <c r="F89" s="487">
        <f t="shared" si="19"/>
        <v>0</v>
      </c>
    </row>
    <row r="90" spans="1:6" ht="20.100000000000001" customHeight="1" x14ac:dyDescent="0.25">
      <c r="A90" s="484" t="s">
        <v>1411</v>
      </c>
      <c r="B90" s="454" t="str">
        <f t="shared" si="16"/>
        <v xml:space="preserve">Artefactos sanitarios  </v>
      </c>
      <c r="C90" s="455" t="str">
        <f t="shared" si="17"/>
        <v>gl</v>
      </c>
      <c r="D90" s="485">
        <v>1</v>
      </c>
      <c r="E90" s="487">
        <f t="shared" si="18"/>
        <v>0</v>
      </c>
      <c r="F90" s="487">
        <f t="shared" si="19"/>
        <v>0</v>
      </c>
    </row>
    <row r="91" spans="1:6" ht="20.100000000000001" customHeight="1" x14ac:dyDescent="0.25">
      <c r="A91" s="484" t="s">
        <v>1412</v>
      </c>
      <c r="B91" s="454" t="str">
        <f t="shared" si="16"/>
        <v>Griferia de sanitario y cocina</v>
      </c>
      <c r="C91" s="455" t="str">
        <f t="shared" si="17"/>
        <v>gl</v>
      </c>
      <c r="D91" s="485">
        <v>1</v>
      </c>
      <c r="E91" s="487">
        <f t="shared" si="18"/>
        <v>0</v>
      </c>
      <c r="F91" s="487">
        <f t="shared" si="19"/>
        <v>0</v>
      </c>
    </row>
    <row r="92" spans="1:6" ht="20.100000000000001" customHeight="1" x14ac:dyDescent="0.25">
      <c r="A92" s="484" t="s">
        <v>1413</v>
      </c>
      <c r="B92" s="454" t="str">
        <f t="shared" si="16"/>
        <v>Accesorios de sanitarios</v>
      </c>
      <c r="C92" s="455" t="str">
        <f t="shared" si="17"/>
        <v>gl</v>
      </c>
      <c r="D92" s="485">
        <v>1</v>
      </c>
      <c r="E92" s="487">
        <f t="shared" si="18"/>
        <v>0</v>
      </c>
      <c r="F92" s="487">
        <f t="shared" si="19"/>
        <v>0</v>
      </c>
    </row>
    <row r="93" spans="1:6" ht="20.100000000000001" customHeight="1" x14ac:dyDescent="0.25">
      <c r="A93" s="484" t="s">
        <v>1414</v>
      </c>
      <c r="B93" s="454" t="str">
        <f t="shared" si="16"/>
        <v>Tanque de bombeo (5000 litros)</v>
      </c>
      <c r="C93" s="455" t="str">
        <f t="shared" si="17"/>
        <v>gl</v>
      </c>
      <c r="D93" s="485">
        <v>4.0816999999999999E-2</v>
      </c>
      <c r="E93" s="487">
        <f t="shared" si="18"/>
        <v>0</v>
      </c>
      <c r="F93" s="487">
        <f t="shared" si="19"/>
        <v>0</v>
      </c>
    </row>
    <row r="94" spans="1:6" ht="20.100000000000001" customHeight="1" x14ac:dyDescent="0.25">
      <c r="A94" s="484" t="s">
        <v>1415</v>
      </c>
      <c r="B94" s="454" t="str">
        <f t="shared" si="16"/>
        <v xml:space="preserve">Tanque de reserva (5000 litros) </v>
      </c>
      <c r="C94" s="455" t="str">
        <f t="shared" si="17"/>
        <v>gl</v>
      </c>
      <c r="D94" s="485">
        <v>0.10204000000000001</v>
      </c>
      <c r="E94" s="487">
        <f t="shared" si="18"/>
        <v>0</v>
      </c>
      <c r="F94" s="487">
        <f t="shared" si="19"/>
        <v>0</v>
      </c>
    </row>
    <row r="95" spans="1:6" ht="20.100000000000001" customHeight="1" x14ac:dyDescent="0.25">
      <c r="A95" s="484">
        <v>17</v>
      </c>
      <c r="B95" s="454" t="str">
        <f t="shared" si="16"/>
        <v>INSTALACIÓN CONTRA INCENDIO TOTAL</v>
      </c>
      <c r="C95" s="455">
        <f t="shared" si="17"/>
        <v>0</v>
      </c>
      <c r="D95" s="485"/>
      <c r="E95" s="487">
        <f t="shared" si="18"/>
        <v>0</v>
      </c>
      <c r="F95" s="487">
        <f t="shared" si="19"/>
        <v>0</v>
      </c>
    </row>
    <row r="96" spans="1:6" ht="20.100000000000001" customHeight="1" x14ac:dyDescent="0.25">
      <c r="A96" s="484" t="s">
        <v>1416</v>
      </c>
      <c r="B96" s="454" t="str">
        <f t="shared" si="16"/>
        <v>Tanque de reserva   PRFV 5000 LTS</v>
      </c>
      <c r="C96" s="455" t="str">
        <f t="shared" si="17"/>
        <v>u</v>
      </c>
      <c r="D96" s="485">
        <v>6.7960999999999994E-2</v>
      </c>
      <c r="E96" s="487">
        <f t="shared" si="18"/>
        <v>0</v>
      </c>
      <c r="F96" s="487">
        <f t="shared" si="19"/>
        <v>0</v>
      </c>
    </row>
    <row r="97" spans="1:6" ht="20.100000000000001" customHeight="1" x14ac:dyDescent="0.25">
      <c r="A97" s="484" t="s">
        <v>1417</v>
      </c>
      <c r="B97" s="454" t="str">
        <f t="shared" si="16"/>
        <v xml:space="preserve">Bomba de 15 hp </v>
      </c>
      <c r="C97" s="455" t="str">
        <f t="shared" si="17"/>
        <v>u</v>
      </c>
      <c r="D97" s="485">
        <v>3.8835000000000001E-2</v>
      </c>
      <c r="E97" s="487">
        <f t="shared" si="18"/>
        <v>0</v>
      </c>
      <c r="F97" s="487">
        <f t="shared" si="19"/>
        <v>0</v>
      </c>
    </row>
    <row r="98" spans="1:6" ht="20.100000000000001" customHeight="1" x14ac:dyDescent="0.25">
      <c r="A98" s="484" t="s">
        <v>1418</v>
      </c>
      <c r="B98" s="454" t="str">
        <f t="shared" si="16"/>
        <v>Extintores ABC 5 kg</v>
      </c>
      <c r="C98" s="455" t="str">
        <f t="shared" si="17"/>
        <v>u</v>
      </c>
      <c r="D98" s="485">
        <v>0.58252400000000004</v>
      </c>
      <c r="E98" s="487">
        <f t="shared" si="18"/>
        <v>0</v>
      </c>
      <c r="F98" s="487">
        <f t="shared" si="19"/>
        <v>0</v>
      </c>
    </row>
    <row r="99" spans="1:6" ht="20.100000000000001" customHeight="1" x14ac:dyDescent="0.25">
      <c r="A99" s="484" t="s">
        <v>1419</v>
      </c>
      <c r="B99" s="454" t="str">
        <f t="shared" si="16"/>
        <v>Hidrantes con caja lanza y martillo</v>
      </c>
      <c r="C99" s="455" t="str">
        <f t="shared" si="17"/>
        <v>u</v>
      </c>
      <c r="D99" s="485">
        <v>0.28571400000000002</v>
      </c>
      <c r="E99" s="487">
        <f t="shared" si="18"/>
        <v>0</v>
      </c>
      <c r="F99" s="487">
        <f t="shared" si="19"/>
        <v>0</v>
      </c>
    </row>
    <row r="100" spans="1:6" ht="20.100000000000001" customHeight="1" x14ac:dyDescent="0.25">
      <c r="A100" s="484" t="s">
        <v>1420</v>
      </c>
      <c r="B100" s="454" t="str">
        <f t="shared" si="16"/>
        <v>Manguera para incendio diametro 38,long 25 metros</v>
      </c>
      <c r="C100" s="455" t="str">
        <f t="shared" si="17"/>
        <v>u</v>
      </c>
      <c r="D100" s="485">
        <v>0.28571400000000002</v>
      </c>
      <c r="E100" s="487">
        <f t="shared" si="18"/>
        <v>0</v>
      </c>
      <c r="F100" s="487">
        <f t="shared" si="19"/>
        <v>0</v>
      </c>
    </row>
    <row r="101" spans="1:6" ht="20.100000000000001" customHeight="1" x14ac:dyDescent="0.25">
      <c r="A101" s="484" t="s">
        <v>1421</v>
      </c>
      <c r="B101" s="454" t="str">
        <f t="shared" si="16"/>
        <v xml:space="preserve">Bomba Joker </v>
      </c>
      <c r="C101" s="455" t="str">
        <f t="shared" si="17"/>
        <v>u</v>
      </c>
      <c r="D101" s="485">
        <v>2.0407999999999999E-2</v>
      </c>
      <c r="E101" s="487">
        <f t="shared" si="18"/>
        <v>0</v>
      </c>
      <c r="F101" s="487">
        <f t="shared" si="19"/>
        <v>0</v>
      </c>
    </row>
    <row r="102" spans="1:6" ht="20.100000000000001" customHeight="1" x14ac:dyDescent="0.25">
      <c r="A102" s="484" t="s">
        <v>1422</v>
      </c>
      <c r="B102" s="454" t="str">
        <f t="shared" si="16"/>
        <v>Luces de Emergencia</v>
      </c>
      <c r="C102" s="455" t="str">
        <f t="shared" si="17"/>
        <v>u</v>
      </c>
      <c r="D102" s="485">
        <v>1.3877550000000001</v>
      </c>
      <c r="E102" s="487">
        <f t="shared" si="18"/>
        <v>0</v>
      </c>
      <c r="F102" s="487">
        <f t="shared" si="19"/>
        <v>0</v>
      </c>
    </row>
    <row r="103" spans="1:6" ht="20.100000000000001" customHeight="1" x14ac:dyDescent="0.25">
      <c r="A103" s="484" t="s">
        <v>1423</v>
      </c>
      <c r="B103" s="454" t="str">
        <f t="shared" si="16"/>
        <v>Cañeria HG 75 mm</v>
      </c>
      <c r="C103" s="455" t="str">
        <f t="shared" si="17"/>
        <v>ml</v>
      </c>
      <c r="D103" s="485">
        <v>0</v>
      </c>
      <c r="E103" s="487">
        <f t="shared" si="18"/>
        <v>0</v>
      </c>
      <c r="F103" s="487">
        <f t="shared" si="19"/>
        <v>0</v>
      </c>
    </row>
    <row r="104" spans="1:6" ht="20.100000000000001" customHeight="1" x14ac:dyDescent="0.25">
      <c r="A104" s="484" t="s">
        <v>1424</v>
      </c>
      <c r="B104" s="454" t="str">
        <f t="shared" si="16"/>
        <v>Cañeria HG 63 mm</v>
      </c>
      <c r="C104" s="455" t="str">
        <f t="shared" si="17"/>
        <v>ml</v>
      </c>
      <c r="D104" s="485">
        <v>2.3877549999999998</v>
      </c>
      <c r="E104" s="487">
        <f t="shared" si="18"/>
        <v>0</v>
      </c>
      <c r="F104" s="487">
        <f t="shared" si="19"/>
        <v>0</v>
      </c>
    </row>
    <row r="105" spans="1:6" ht="20.100000000000001" customHeight="1" x14ac:dyDescent="0.25">
      <c r="A105" s="484" t="s">
        <v>1425</v>
      </c>
      <c r="B105" s="454" t="str">
        <f t="shared" si="16"/>
        <v>Cañeria HG 50 mm</v>
      </c>
      <c r="C105" s="455" t="str">
        <f t="shared" si="17"/>
        <v>ml</v>
      </c>
      <c r="D105" s="485">
        <v>0.22449</v>
      </c>
      <c r="E105" s="487">
        <f t="shared" si="18"/>
        <v>0</v>
      </c>
      <c r="F105" s="487">
        <f t="shared" si="19"/>
        <v>0</v>
      </c>
    </row>
    <row r="106" spans="1:6" ht="20.100000000000001" customHeight="1" x14ac:dyDescent="0.25">
      <c r="A106" s="484" t="s">
        <v>1426</v>
      </c>
      <c r="B106" s="454" t="str">
        <f t="shared" si="16"/>
        <v>Valvulas Esclusas de bronce dim 45</v>
      </c>
      <c r="C106" s="455" t="str">
        <f t="shared" si="17"/>
        <v>u</v>
      </c>
      <c r="D106" s="485">
        <v>0.244898</v>
      </c>
      <c r="E106" s="487">
        <f t="shared" si="18"/>
        <v>0</v>
      </c>
      <c r="F106" s="487">
        <f t="shared" si="19"/>
        <v>0</v>
      </c>
    </row>
    <row r="107" spans="1:6" ht="20.100000000000001" customHeight="1" x14ac:dyDescent="0.25">
      <c r="A107" s="484" t="s">
        <v>1427</v>
      </c>
      <c r="B107" s="454" t="str">
        <f t="shared" si="16"/>
        <v>Valvulas Esclusas de bronce dim 38</v>
      </c>
      <c r="C107" s="455" t="str">
        <f t="shared" si="17"/>
        <v>u</v>
      </c>
      <c r="D107" s="485">
        <v>4.0815999999999998E-2</v>
      </c>
      <c r="E107" s="487">
        <f t="shared" si="18"/>
        <v>0</v>
      </c>
      <c r="F107" s="487">
        <f t="shared" si="19"/>
        <v>0</v>
      </c>
    </row>
    <row r="108" spans="1:6" ht="20.100000000000001" customHeight="1" x14ac:dyDescent="0.25">
      <c r="A108" s="484" t="s">
        <v>1428</v>
      </c>
      <c r="B108" s="454" t="str">
        <f t="shared" si="16"/>
        <v>Caja de Impulsion con llave esferica de 2" (60x40)</v>
      </c>
      <c r="C108" s="455" t="str">
        <f t="shared" si="17"/>
        <v>u</v>
      </c>
      <c r="D108" s="485">
        <v>2.0407999999999999E-2</v>
      </c>
      <c r="E108" s="487">
        <f t="shared" si="18"/>
        <v>0</v>
      </c>
      <c r="F108" s="487">
        <f t="shared" si="19"/>
        <v>0</v>
      </c>
    </row>
    <row r="109" spans="1:6" ht="20.100000000000001" customHeight="1" x14ac:dyDescent="0.25">
      <c r="A109" s="484" t="s">
        <v>1429</v>
      </c>
      <c r="B109" s="454" t="str">
        <f t="shared" si="16"/>
        <v>Tambor con arena de 200 lts</v>
      </c>
      <c r="C109" s="455" t="str">
        <f t="shared" si="17"/>
        <v>u</v>
      </c>
      <c r="D109" s="485">
        <v>6.1224000000000001E-2</v>
      </c>
      <c r="E109" s="487">
        <f t="shared" si="18"/>
        <v>0</v>
      </c>
      <c r="F109" s="487">
        <f t="shared" si="19"/>
        <v>0</v>
      </c>
    </row>
    <row r="110" spans="1:6" ht="20.100000000000001" customHeight="1" x14ac:dyDescent="0.25">
      <c r="A110" s="484">
        <v>18</v>
      </c>
      <c r="B110" s="454" t="str">
        <f t="shared" si="16"/>
        <v>INSTALACION ELECTROMECANICA</v>
      </c>
      <c r="C110" s="455">
        <f t="shared" si="17"/>
        <v>0</v>
      </c>
      <c r="D110" s="485"/>
      <c r="E110" s="487">
        <f t="shared" si="18"/>
        <v>0</v>
      </c>
      <c r="F110" s="487">
        <f t="shared" si="19"/>
        <v>0</v>
      </c>
    </row>
    <row r="111" spans="1:6" ht="20.100000000000001" customHeight="1" x14ac:dyDescent="0.25">
      <c r="A111" s="484" t="s">
        <v>1430</v>
      </c>
      <c r="B111" s="454" t="str">
        <f t="shared" si="16"/>
        <v>Instalación electromagnética</v>
      </c>
      <c r="C111" s="455" t="str">
        <f t="shared" si="17"/>
        <v>gl</v>
      </c>
      <c r="D111" s="485">
        <v>4.0815999999999998E-2</v>
      </c>
      <c r="E111" s="487">
        <f t="shared" si="18"/>
        <v>0</v>
      </c>
      <c r="F111" s="487">
        <f t="shared" si="19"/>
        <v>0</v>
      </c>
    </row>
    <row r="112" spans="1:6" ht="20.100000000000001" customHeight="1" x14ac:dyDescent="0.25">
      <c r="A112" s="484" t="s">
        <v>1431</v>
      </c>
      <c r="B112" s="454" t="str">
        <f t="shared" si="16"/>
        <v>Ascensor Electromagnetico Cap.450 kg Ancho 1100 x 1300 cm (Torre 9 niveles)</v>
      </c>
      <c r="C112" s="455" t="str">
        <f t="shared" si="17"/>
        <v>u</v>
      </c>
      <c r="D112" s="485">
        <v>0</v>
      </c>
      <c r="E112" s="487">
        <f t="shared" si="18"/>
        <v>0</v>
      </c>
      <c r="F112" s="487">
        <f t="shared" si="19"/>
        <v>0</v>
      </c>
    </row>
    <row r="113" spans="1:6" ht="20.100000000000001" customHeight="1" x14ac:dyDescent="0.25">
      <c r="A113" s="484" t="s">
        <v>1521</v>
      </c>
      <c r="B113" s="454" t="str">
        <f t="shared" ref="B113" si="20">IFERROR(VLOOKUP(A113,Tabla_Datos,2,FALSE),0)</f>
        <v>Ascensor Electromagnetico Cap.450 kg Ancho 1100 x 1300 cm  (Ala 5 niveles)</v>
      </c>
      <c r="C113" s="455" t="str">
        <f t="shared" ref="C113" si="21">IFERROR(VLOOKUP(A113,Tabla_Datos,3,FALSE),0)</f>
        <v>u</v>
      </c>
      <c r="D113" s="485">
        <v>4.0815999999999998E-2</v>
      </c>
      <c r="E113" s="487">
        <f t="shared" ref="E113" si="22">IFERROR(VLOOKUP(A113,Tabla_Comp_Presup,7,FALSE),0)</f>
        <v>0</v>
      </c>
      <c r="F113" s="487">
        <f t="shared" ref="F113" si="23">ROUND(D113*E113,15)</f>
        <v>0</v>
      </c>
    </row>
    <row r="114" spans="1:6" ht="20.100000000000001" customHeight="1" x14ac:dyDescent="0.25">
      <c r="A114" s="484">
        <v>19</v>
      </c>
      <c r="B114" s="454" t="str">
        <f t="shared" si="16"/>
        <v>CONDUCTOS Y VENTILACIONES</v>
      </c>
      <c r="C114" s="455">
        <f t="shared" si="17"/>
        <v>0</v>
      </c>
      <c r="D114" s="485"/>
      <c r="E114" s="487">
        <f t="shared" si="18"/>
        <v>0</v>
      </c>
      <c r="F114" s="487">
        <f t="shared" si="19"/>
        <v>0</v>
      </c>
    </row>
    <row r="115" spans="1:6" ht="20.100000000000001" customHeight="1" x14ac:dyDescent="0.25">
      <c r="A115" s="484" t="s">
        <v>1432</v>
      </c>
      <c r="B115" s="454" t="str">
        <f t="shared" si="16"/>
        <v>Rejilla ventilación baños</v>
      </c>
      <c r="C115" s="455" t="str">
        <f t="shared" si="17"/>
        <v>u</v>
      </c>
      <c r="D115" s="485">
        <v>1.4285714285714286</v>
      </c>
      <c r="E115" s="487">
        <f t="shared" si="18"/>
        <v>0</v>
      </c>
      <c r="F115" s="487">
        <f t="shared" si="19"/>
        <v>0</v>
      </c>
    </row>
    <row r="116" spans="1:6" ht="20.100000000000001" customHeight="1" x14ac:dyDescent="0.25">
      <c r="A116" s="193"/>
      <c r="B116" s="194"/>
      <c r="C116" s="195"/>
      <c r="D116" s="196"/>
      <c r="E116" s="197"/>
      <c r="F116" s="197"/>
    </row>
    <row r="117" spans="1:6" ht="20.100000000000001" customHeight="1" x14ac:dyDescent="0.25">
      <c r="A117" s="459" t="s">
        <v>1106</v>
      </c>
      <c r="B117" s="460" t="s">
        <v>1162</v>
      </c>
      <c r="C117" s="461"/>
      <c r="D117" s="462"/>
      <c r="E117" s="463"/>
      <c r="F117" s="464">
        <f>ROUND(F126/Coef_Paso_Vivienda,2)</f>
        <v>0</v>
      </c>
    </row>
    <row r="118" spans="1:6" ht="20.100000000000001" customHeight="1" x14ac:dyDescent="0.25">
      <c r="A118" s="465" t="s">
        <v>1107</v>
      </c>
      <c r="B118" s="466" t="str">
        <f>"COSTO FINANCIERO  "&amp;ROUND(Costo_Financiero*100,2)&amp;" % de ( 1 )"</f>
        <v>COSTO FINANCIERO  0 % de ( 1 )</v>
      </c>
      <c r="C118" s="467">
        <f>Costo_Financiero</f>
        <v>0</v>
      </c>
      <c r="D118" s="468"/>
      <c r="E118" s="469">
        <f>Costo_Financiero</f>
        <v>0</v>
      </c>
      <c r="F118" s="470">
        <f>ROUND(F117*Costo_Financiero,2)</f>
        <v>0</v>
      </c>
    </row>
    <row r="119" spans="1:6" ht="20.100000000000001" customHeight="1" x14ac:dyDescent="0.25">
      <c r="A119" s="465" t="s">
        <v>1108</v>
      </c>
      <c r="B119" s="466" t="s">
        <v>1158</v>
      </c>
      <c r="C119" s="467"/>
      <c r="D119" s="468"/>
      <c r="E119" s="471"/>
      <c r="F119" s="470">
        <f>F117+F118</f>
        <v>0</v>
      </c>
    </row>
    <row r="120" spans="1:6" ht="20.100000000000001" customHeight="1" x14ac:dyDescent="0.25">
      <c r="A120" s="465" t="s">
        <v>1109</v>
      </c>
      <c r="B120" s="472" t="str">
        <f>CONCATENATE("GASTOS GENERALES  ",ROUND(Gastos_Generales*100,3)," % de ( 3 )")</f>
        <v>GASTOS GENERALES  10 % de ( 3 )</v>
      </c>
      <c r="C120" s="469">
        <f>Gastos_Generales</f>
        <v>0.1</v>
      </c>
      <c r="D120" s="473"/>
      <c r="E120" s="471"/>
      <c r="F120" s="470">
        <f>ROUND(F119*Gastos_Generales,2)</f>
        <v>0</v>
      </c>
    </row>
    <row r="121" spans="1:6" ht="20.100000000000001" customHeight="1" x14ac:dyDescent="0.25">
      <c r="A121" s="465" t="s">
        <v>1110</v>
      </c>
      <c r="B121" s="472" t="str">
        <f>CONCATENATE("BENEFICIOS  ",ROUND(Beneficio*100,2)," % de ( 3 )")</f>
        <v>BENEFICIOS  10 % de ( 3 )</v>
      </c>
      <c r="C121" s="469">
        <f>Beneficio</f>
        <v>0.1</v>
      </c>
      <c r="D121" s="473"/>
      <c r="E121" s="471"/>
      <c r="F121" s="470">
        <f>ROUND(F119*Beneficio,2)</f>
        <v>0</v>
      </c>
    </row>
    <row r="122" spans="1:6" ht="20.100000000000001" customHeight="1" x14ac:dyDescent="0.25">
      <c r="A122" s="465">
        <v>6</v>
      </c>
      <c r="B122" s="466" t="s">
        <v>1159</v>
      </c>
      <c r="C122" s="471"/>
      <c r="D122" s="473"/>
      <c r="E122" s="471"/>
      <c r="F122" s="470">
        <f>F119+F120+F121</f>
        <v>0</v>
      </c>
    </row>
    <row r="123" spans="1:6" ht="20.100000000000001" customHeight="1" x14ac:dyDescent="0.25">
      <c r="A123" s="465" t="s">
        <v>1160</v>
      </c>
      <c r="B123" s="472" t="str">
        <f>CONCATENATE("INGRESOS BRUTOS Y LOTE HOGAR  ",ROUND(Ingresos_Brutos*100,2)," % de ( 6 )")</f>
        <v>INGRESOS BRUTOS Y LOTE HOGAR  2,4 % de ( 6 )</v>
      </c>
      <c r="C123" s="469">
        <f>Ingresos_Brutos</f>
        <v>2.4E-2</v>
      </c>
      <c r="D123" s="473"/>
      <c r="E123" s="471"/>
      <c r="F123" s="470">
        <f>IF(Ingresos_Brutos=0,,ROUND(Ingresos_Brutos*F122,2))</f>
        <v>0</v>
      </c>
    </row>
    <row r="124" spans="1:6" ht="20.100000000000001" customHeight="1" x14ac:dyDescent="0.25">
      <c r="A124" s="474" t="s">
        <v>1161</v>
      </c>
      <c r="B124" s="475" t="str">
        <f>CONCATENATE("IMPUESTO AL VALOR AGREGADO ",IVA_Vivienda*100," % de ( 6 )")</f>
        <v>IMPUESTO AL VALOR AGREGADO 0,000000000001 % de ( 6 )</v>
      </c>
      <c r="C124" s="476">
        <f>IVA_Vivienda</f>
        <v>1E-14</v>
      </c>
      <c r="D124" s="477"/>
      <c r="E124" s="478"/>
      <c r="F124" s="479">
        <f>IF(IVA_Vivienda=0,,ROUND(IVA_Vivienda*F122,2))</f>
        <v>0</v>
      </c>
    </row>
    <row r="125" spans="1:6" ht="20.100000000000001" customHeight="1" x14ac:dyDescent="0.25">
      <c r="A125" s="88"/>
      <c r="B125" s="83"/>
      <c r="C125" s="83"/>
      <c r="D125" s="84"/>
      <c r="E125" s="85"/>
      <c r="F125" s="2"/>
    </row>
    <row r="126" spans="1:6" ht="20.100000000000001" customHeight="1" x14ac:dyDescent="0.25">
      <c r="A126" s="480"/>
      <c r="B126" s="481" t="str">
        <f>"PRECIO TOTAL VIVENDA"</f>
        <v>PRECIO TOTAL VIVENDA</v>
      </c>
      <c r="C126" s="481"/>
      <c r="D126" s="482"/>
      <c r="E126" s="480"/>
      <c r="F126" s="483">
        <f>SUM(F11:F115)</f>
        <v>0</v>
      </c>
    </row>
    <row r="129" spans="5:6" x14ac:dyDescent="0.25">
      <c r="E129" s="322"/>
      <c r="F129" s="491"/>
    </row>
    <row r="132" spans="5:6" x14ac:dyDescent="0.25">
      <c r="F132" s="491"/>
    </row>
  </sheetData>
  <mergeCells count="7">
    <mergeCell ref="A1:F1"/>
    <mergeCell ref="A7:A8"/>
    <mergeCell ref="B7:B8"/>
    <mergeCell ref="C7:C8"/>
    <mergeCell ref="D7:D8"/>
    <mergeCell ref="E7:E8"/>
    <mergeCell ref="F7:F8"/>
  </mergeCells>
  <phoneticPr fontId="10" type="noConversion"/>
  <conditionalFormatting sqref="A11:A30 B10:B30 A31:B116">
    <cfRule type="expression" dxfId="147" priority="5" stopIfTrue="1">
      <formula>$C10=0</formula>
    </cfRule>
  </conditionalFormatting>
  <conditionalFormatting sqref="A10">
    <cfRule type="expression" dxfId="146" priority="4" stopIfTrue="1">
      <formula>$C10=0</formula>
    </cfRule>
  </conditionalFormatting>
  <conditionalFormatting sqref="F117">
    <cfRule type="expression" dxfId="145" priority="3" stopIfTrue="1">
      <formula>#REF!=1</formula>
    </cfRule>
  </conditionalFormatting>
  <pageMargins left="0.78740157480314965" right="0.19685039370078741" top="0.74803149606299213" bottom="0.74803149606299213" header="0.31496062992125984" footer="0.31496062992125984"/>
  <pageSetup paperSize="9" scale="56"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
  <sheetViews>
    <sheetView workbookViewId="0">
      <selection activeCell="H3" sqref="H3"/>
    </sheetView>
  </sheetViews>
  <sheetFormatPr baseColWidth="10" defaultRowHeight="13.2" x14ac:dyDescent="0.25"/>
  <cols>
    <col min="1" max="1" width="18.88671875" customWidth="1"/>
    <col min="2" max="2" width="83.6640625" customWidth="1"/>
    <col min="5" max="5" width="21" customWidth="1"/>
    <col min="6" max="6" width="20.6640625" customWidth="1"/>
    <col min="7" max="7" width="7" customWidth="1"/>
    <col min="8" max="8" width="21.44140625" customWidth="1"/>
    <col min="9" max="9" width="11.6640625" customWidth="1"/>
  </cols>
  <sheetData>
    <row r="1" spans="1:6" ht="20.100000000000001" customHeight="1" x14ac:dyDescent="0.25">
      <c r="A1" s="587" t="s">
        <v>1248</v>
      </c>
      <c r="B1" s="587"/>
      <c r="C1" s="587"/>
      <c r="D1" s="587"/>
      <c r="E1" s="587"/>
      <c r="F1" s="587"/>
    </row>
    <row r="2" spans="1:6" ht="20.100000000000001" customHeight="1" x14ac:dyDescent="0.25">
      <c r="A2" s="94" t="s">
        <v>1230</v>
      </c>
      <c r="B2" s="93" t="str">
        <f>Obra</f>
        <v>LA NAVE - 103 DEPARTAMENTOS - CAPITAL</v>
      </c>
      <c r="C2" s="150"/>
      <c r="D2" s="95"/>
      <c r="E2" s="95"/>
      <c r="F2" s="95"/>
    </row>
    <row r="3" spans="1:6" ht="20.100000000000001" customHeight="1" x14ac:dyDescent="0.25">
      <c r="A3" s="94" t="s">
        <v>1231</v>
      </c>
      <c r="B3" s="93" t="str">
        <f>Ubicación</f>
        <v>CAPITAL</v>
      </c>
      <c r="C3" s="95"/>
      <c r="D3" s="95"/>
      <c r="E3" s="95"/>
      <c r="F3" s="95"/>
    </row>
    <row r="4" spans="1:6" ht="20.100000000000001" customHeight="1" x14ac:dyDescent="0.25">
      <c r="A4" s="94" t="s">
        <v>1127</v>
      </c>
      <c r="B4" s="98" t="s">
        <v>1270</v>
      </c>
      <c r="C4" s="94"/>
      <c r="D4" s="95"/>
      <c r="E4" s="95"/>
      <c r="F4" s="95"/>
    </row>
    <row r="5" spans="1:6" ht="20.100000000000001" customHeight="1" x14ac:dyDescent="0.25">
      <c r="A5" s="94" t="s">
        <v>1156</v>
      </c>
      <c r="B5" s="578">
        <v>54</v>
      </c>
      <c r="C5" s="94"/>
      <c r="D5" s="95"/>
      <c r="E5" s="95"/>
      <c r="F5" s="95"/>
    </row>
    <row r="6" spans="1:6" ht="20.100000000000001" customHeight="1" x14ac:dyDescent="0.25">
      <c r="A6" s="132"/>
      <c r="B6" s="135"/>
      <c r="C6" s="132"/>
      <c r="D6" s="132"/>
      <c r="E6" s="132"/>
      <c r="F6" s="132"/>
    </row>
    <row r="7" spans="1:6" x14ac:dyDescent="0.25">
      <c r="A7" s="588" t="s">
        <v>1105</v>
      </c>
      <c r="B7" s="590" t="s">
        <v>0</v>
      </c>
      <c r="C7" s="588" t="s">
        <v>1</v>
      </c>
      <c r="D7" s="588" t="s">
        <v>2</v>
      </c>
      <c r="E7" s="588" t="s">
        <v>1148</v>
      </c>
      <c r="F7" s="588" t="s">
        <v>1157</v>
      </c>
    </row>
    <row r="8" spans="1:6" ht="30.75" customHeight="1" x14ac:dyDescent="0.25">
      <c r="A8" s="589"/>
      <c r="B8" s="591"/>
      <c r="C8" s="589"/>
      <c r="D8" s="589"/>
      <c r="E8" s="589"/>
      <c r="F8" s="589"/>
    </row>
    <row r="9" spans="1:6" x14ac:dyDescent="0.25">
      <c r="A9" s="198"/>
      <c r="B9" s="136"/>
      <c r="C9" s="140"/>
      <c r="D9" s="140"/>
      <c r="E9" s="200"/>
      <c r="F9" s="201"/>
    </row>
    <row r="10" spans="1:6" ht="20.100000000000001" customHeight="1" x14ac:dyDescent="0.25">
      <c r="A10" s="223" t="s">
        <v>1124</v>
      </c>
      <c r="B10" s="224" t="str">
        <f t="shared" ref="B10:B45" si="0">IFERROR(VLOOKUP(A10,Tabla_Datos,2,FALSE),0)</f>
        <v>DEPARTAMENTOS</v>
      </c>
      <c r="C10" s="225">
        <f t="shared" ref="C10:C45" si="1">IFERROR(VLOOKUP(A10,Tabla_Datos,3,FALSE),0)</f>
        <v>0</v>
      </c>
      <c r="D10" s="226"/>
      <c r="E10" s="227">
        <f t="shared" ref="E10:E45" si="2">IFERROR(VLOOKUP(A10,Tabla_Comp_Presup,7,FALSE),0)</f>
        <v>0</v>
      </c>
      <c r="F10" s="227">
        <f t="shared" ref="F10:F45" si="3">ROUND(D10*E10,15)</f>
        <v>0</v>
      </c>
    </row>
    <row r="11" spans="1:6" ht="20.100000000000001" customHeight="1" x14ac:dyDescent="0.25">
      <c r="A11" s="484">
        <v>1</v>
      </c>
      <c r="B11" s="454" t="str">
        <f t="shared" si="0"/>
        <v xml:space="preserve">TRABAJOS PRELIMINARES </v>
      </c>
      <c r="C11" s="455">
        <f t="shared" si="1"/>
        <v>0</v>
      </c>
      <c r="D11" s="485"/>
      <c r="E11" s="487">
        <f t="shared" si="2"/>
        <v>0</v>
      </c>
      <c r="F11" s="487">
        <f t="shared" si="3"/>
        <v>0</v>
      </c>
    </row>
    <row r="12" spans="1:6" ht="20.100000000000001" customHeight="1" x14ac:dyDescent="0.25">
      <c r="A12" s="484" t="s">
        <v>1281</v>
      </c>
      <c r="B12" s="454" t="str">
        <f t="shared" si="0"/>
        <v>Limpieza general, incluye desmalezamiento, demolición de construcciones existentes</v>
      </c>
      <c r="C12" s="455" t="str">
        <f t="shared" si="1"/>
        <v>m2</v>
      </c>
      <c r="D12" s="485">
        <v>77.87</v>
      </c>
      <c r="E12" s="487">
        <f t="shared" si="2"/>
        <v>0</v>
      </c>
      <c r="F12" s="487">
        <f t="shared" si="3"/>
        <v>0</v>
      </c>
    </row>
    <row r="13" spans="1:6" ht="20.100000000000001" customHeight="1" x14ac:dyDescent="0.25">
      <c r="A13" s="484">
        <v>2</v>
      </c>
      <c r="B13" s="454" t="str">
        <f t="shared" si="0"/>
        <v>MOVIMIENTO DE SUELOS</v>
      </c>
      <c r="C13" s="455">
        <f t="shared" si="1"/>
        <v>0</v>
      </c>
      <c r="D13" s="485"/>
      <c r="E13" s="487">
        <f t="shared" si="2"/>
        <v>0</v>
      </c>
      <c r="F13" s="487">
        <f t="shared" si="3"/>
        <v>0</v>
      </c>
    </row>
    <row r="14" spans="1:6" ht="20.100000000000001" customHeight="1" x14ac:dyDescent="0.25">
      <c r="A14" s="484" t="s">
        <v>1282</v>
      </c>
      <c r="B14" s="454" t="str">
        <f t="shared" si="0"/>
        <v>Excavación para fundaciones</v>
      </c>
      <c r="C14" s="455" t="str">
        <f t="shared" si="1"/>
        <v>m3</v>
      </c>
      <c r="D14" s="485">
        <v>16.739999999999998</v>
      </c>
      <c r="E14" s="487">
        <f t="shared" si="2"/>
        <v>0</v>
      </c>
      <c r="F14" s="487">
        <f t="shared" si="3"/>
        <v>0</v>
      </c>
    </row>
    <row r="15" spans="1:6" ht="20.100000000000001" customHeight="1" x14ac:dyDescent="0.25">
      <c r="A15" s="484" t="s">
        <v>1336</v>
      </c>
      <c r="B15" s="454" t="str">
        <f t="shared" si="0"/>
        <v>Excavacion de Subsuelo</v>
      </c>
      <c r="C15" s="455" t="str">
        <f t="shared" si="1"/>
        <v>m3</v>
      </c>
      <c r="D15" s="485">
        <v>39.26</v>
      </c>
      <c r="E15" s="487">
        <f t="shared" si="2"/>
        <v>0</v>
      </c>
      <c r="F15" s="487">
        <f t="shared" si="3"/>
        <v>0</v>
      </c>
    </row>
    <row r="16" spans="1:6" ht="20.100000000000001" customHeight="1" x14ac:dyDescent="0.25">
      <c r="A16" s="484">
        <v>3</v>
      </c>
      <c r="B16" s="454" t="str">
        <f t="shared" si="0"/>
        <v>FUNDACIONES</v>
      </c>
      <c r="C16" s="455">
        <f t="shared" si="1"/>
        <v>0</v>
      </c>
      <c r="D16" s="485"/>
      <c r="E16" s="487">
        <f t="shared" si="2"/>
        <v>0</v>
      </c>
      <c r="F16" s="487">
        <f t="shared" si="3"/>
        <v>0</v>
      </c>
    </row>
    <row r="17" spans="1:8" ht="20.100000000000001" customHeight="1" x14ac:dyDescent="0.25">
      <c r="A17" s="484" t="s">
        <v>1298</v>
      </c>
      <c r="B17" s="454" t="str">
        <f t="shared" si="0"/>
        <v>Hº - Bases aisladas y vigas de arriostramiento</v>
      </c>
      <c r="C17" s="455" t="str">
        <f t="shared" si="1"/>
        <v>m3</v>
      </c>
      <c r="D17" s="485">
        <v>17.440000000000001</v>
      </c>
      <c r="E17" s="487">
        <f t="shared" si="2"/>
        <v>0</v>
      </c>
      <c r="F17" s="487">
        <f t="shared" si="3"/>
        <v>0</v>
      </c>
    </row>
    <row r="18" spans="1:8" ht="20.100000000000001" customHeight="1" x14ac:dyDescent="0.25">
      <c r="A18" s="484" t="s">
        <v>1299</v>
      </c>
      <c r="B18" s="454" t="str">
        <f t="shared" si="0"/>
        <v>Aº - Bases aisladas y vigas de arriostramiento</v>
      </c>
      <c r="C18" s="455" t="str">
        <f t="shared" si="1"/>
        <v>kg</v>
      </c>
      <c r="D18" s="485">
        <v>234.63</v>
      </c>
      <c r="E18" s="487">
        <f t="shared" si="2"/>
        <v>0</v>
      </c>
      <c r="F18" s="487">
        <f t="shared" si="3"/>
        <v>0</v>
      </c>
    </row>
    <row r="19" spans="1:8" ht="20.100000000000001" customHeight="1" x14ac:dyDescent="0.25">
      <c r="A19" s="484">
        <v>4</v>
      </c>
      <c r="B19" s="454" t="str">
        <f t="shared" si="0"/>
        <v>ESTRUCTURA RESISTENTE</v>
      </c>
      <c r="C19" s="455">
        <f t="shared" si="1"/>
        <v>0</v>
      </c>
      <c r="D19" s="485"/>
      <c r="E19" s="487">
        <f t="shared" si="2"/>
        <v>0</v>
      </c>
      <c r="F19" s="487">
        <f t="shared" si="3"/>
        <v>0</v>
      </c>
    </row>
    <row r="20" spans="1:8" ht="20.100000000000001" customHeight="1" x14ac:dyDescent="0.25">
      <c r="A20" s="484" t="s">
        <v>1300</v>
      </c>
      <c r="B20" s="454" t="str">
        <f t="shared" si="0"/>
        <v>Replanteo y niveles</v>
      </c>
      <c r="C20" s="455" t="str">
        <f t="shared" si="1"/>
        <v>gl</v>
      </c>
      <c r="D20" s="485">
        <v>1.7999999999999999E-2</v>
      </c>
      <c r="E20" s="487">
        <f t="shared" si="2"/>
        <v>0</v>
      </c>
      <c r="F20" s="487">
        <f t="shared" si="3"/>
        <v>0</v>
      </c>
    </row>
    <row r="21" spans="1:8" ht="20.100000000000001" customHeight="1" x14ac:dyDescent="0.25">
      <c r="A21" s="484" t="s">
        <v>1301</v>
      </c>
      <c r="B21" s="454" t="str">
        <f t="shared" si="0"/>
        <v>Hormigon para Losas H-21</v>
      </c>
      <c r="C21" s="455" t="str">
        <f t="shared" si="1"/>
        <v>m3</v>
      </c>
      <c r="D21" s="485">
        <v>13.02</v>
      </c>
      <c r="E21" s="487">
        <f t="shared" si="2"/>
        <v>0</v>
      </c>
      <c r="F21" s="487">
        <f t="shared" si="3"/>
        <v>0</v>
      </c>
    </row>
    <row r="22" spans="1:8" ht="20.100000000000001" customHeight="1" x14ac:dyDescent="0.25">
      <c r="A22" s="484" t="s">
        <v>1302</v>
      </c>
      <c r="B22" s="454" t="str">
        <f t="shared" si="0"/>
        <v>Hormigon resistente H-30</v>
      </c>
      <c r="C22" s="455" t="str">
        <f t="shared" si="1"/>
        <v>m3</v>
      </c>
      <c r="D22" s="485">
        <v>25.22</v>
      </c>
      <c r="E22" s="487">
        <f t="shared" si="2"/>
        <v>0</v>
      </c>
      <c r="F22" s="487">
        <f t="shared" si="3"/>
        <v>0</v>
      </c>
    </row>
    <row r="23" spans="1:8" ht="20.100000000000001" customHeight="1" x14ac:dyDescent="0.25">
      <c r="A23" s="484" t="s">
        <v>1303</v>
      </c>
      <c r="B23" s="454" t="str">
        <f t="shared" si="0"/>
        <v>Hormigon para encadenados H-17</v>
      </c>
      <c r="C23" s="455" t="str">
        <f t="shared" si="1"/>
        <v>m3</v>
      </c>
      <c r="D23" s="485">
        <v>0.62</v>
      </c>
      <c r="E23" s="487">
        <f t="shared" si="2"/>
        <v>0</v>
      </c>
      <c r="F23" s="487">
        <f t="shared" si="3"/>
        <v>0</v>
      </c>
    </row>
    <row r="24" spans="1:8" ht="20.100000000000001" customHeight="1" x14ac:dyDescent="0.25">
      <c r="A24" s="484" t="s">
        <v>1510</v>
      </c>
      <c r="B24" s="454" t="str">
        <f t="shared" ref="B24:B30" si="4">IFERROR(VLOOKUP(A24,Tabla_Datos,2,FALSE),0)</f>
        <v>Hormigon para escaleras exteriores</v>
      </c>
      <c r="C24" s="455" t="str">
        <f t="shared" ref="C24:C30" si="5">IFERROR(VLOOKUP(A24,Tabla_Datos,3,FALSE),0)</f>
        <v>m3</v>
      </c>
      <c r="D24" s="485">
        <v>0.44</v>
      </c>
      <c r="E24" s="487">
        <f t="shared" ref="E24:E30" si="6">IFERROR(VLOOKUP(A24,Tabla_Comp_Presup,7,FALSE),0)</f>
        <v>0</v>
      </c>
      <c r="F24" s="487">
        <f t="shared" ref="F24:F30" si="7">ROUND(D24*E24,15)</f>
        <v>0</v>
      </c>
    </row>
    <row r="25" spans="1:8" ht="20.100000000000001" customHeight="1" x14ac:dyDescent="0.25">
      <c r="A25" s="484" t="s">
        <v>1511</v>
      </c>
      <c r="B25" s="454" t="str">
        <f t="shared" si="4"/>
        <v>Acero para losas</v>
      </c>
      <c r="C25" s="455" t="str">
        <f t="shared" si="5"/>
        <v>kg</v>
      </c>
      <c r="D25" s="516">
        <v>597.70000000000005</v>
      </c>
      <c r="E25" s="487">
        <f t="shared" si="6"/>
        <v>0</v>
      </c>
      <c r="F25" s="487">
        <f t="shared" si="7"/>
        <v>0</v>
      </c>
    </row>
    <row r="26" spans="1:8" ht="20.100000000000001" customHeight="1" x14ac:dyDescent="0.25">
      <c r="A26" s="484" t="s">
        <v>1512</v>
      </c>
      <c r="B26" s="454" t="str">
        <f t="shared" si="4"/>
        <v>Acero para vigas</v>
      </c>
      <c r="C26" s="455" t="str">
        <f t="shared" si="5"/>
        <v>kg</v>
      </c>
      <c r="D26" s="516">
        <v>3249.58</v>
      </c>
      <c r="E26" s="487">
        <f t="shared" si="6"/>
        <v>0</v>
      </c>
      <c r="F26" s="487">
        <f t="shared" si="7"/>
        <v>0</v>
      </c>
    </row>
    <row r="27" spans="1:8" ht="20.100000000000001" customHeight="1" x14ac:dyDescent="0.25">
      <c r="A27" s="484" t="s">
        <v>1513</v>
      </c>
      <c r="B27" s="454" t="str">
        <f t="shared" si="4"/>
        <v>Acero para columnas</v>
      </c>
      <c r="C27" s="455" t="str">
        <f t="shared" si="5"/>
        <v>kg</v>
      </c>
      <c r="D27" s="516">
        <v>1745.89</v>
      </c>
      <c r="E27" s="487">
        <f t="shared" si="6"/>
        <v>0</v>
      </c>
      <c r="F27" s="487">
        <f t="shared" si="7"/>
        <v>0</v>
      </c>
      <c r="H27" s="362"/>
    </row>
    <row r="28" spans="1:8" ht="20.100000000000001" customHeight="1" x14ac:dyDescent="0.25">
      <c r="A28" s="484" t="s">
        <v>1514</v>
      </c>
      <c r="B28" s="454" t="str">
        <f t="shared" si="4"/>
        <v>Acero para escaleras exteriores</v>
      </c>
      <c r="C28" s="455" t="str">
        <f t="shared" si="5"/>
        <v>kg</v>
      </c>
      <c r="D28" s="516">
        <v>19.13</v>
      </c>
      <c r="E28" s="487">
        <f t="shared" si="6"/>
        <v>0</v>
      </c>
      <c r="F28" s="487">
        <f t="shared" si="7"/>
        <v>0</v>
      </c>
    </row>
    <row r="29" spans="1:8" ht="20.100000000000001" customHeight="1" x14ac:dyDescent="0.25">
      <c r="A29" s="484" t="s">
        <v>1515</v>
      </c>
      <c r="B29" s="454" t="str">
        <f t="shared" si="4"/>
        <v>estructura metalica de espacios comunes y chapa exterior</v>
      </c>
      <c r="C29" s="455" t="str">
        <f t="shared" si="5"/>
        <v>kg</v>
      </c>
      <c r="D29" s="516">
        <v>388.89</v>
      </c>
      <c r="E29" s="487">
        <f t="shared" si="6"/>
        <v>0</v>
      </c>
      <c r="F29" s="487">
        <f t="shared" si="7"/>
        <v>0</v>
      </c>
    </row>
    <row r="30" spans="1:8" ht="20.100000000000001" customHeight="1" x14ac:dyDescent="0.25">
      <c r="A30" s="484" t="s">
        <v>1516</v>
      </c>
      <c r="B30" s="454" t="str">
        <f t="shared" si="4"/>
        <v>chapa lisa en gabinetes</v>
      </c>
      <c r="C30" s="455" t="str">
        <f t="shared" si="5"/>
        <v>kg</v>
      </c>
      <c r="D30" s="485">
        <v>0</v>
      </c>
      <c r="E30" s="487">
        <f t="shared" si="6"/>
        <v>0</v>
      </c>
      <c r="F30" s="487">
        <f t="shared" si="7"/>
        <v>0</v>
      </c>
    </row>
    <row r="31" spans="1:8" ht="20.100000000000001" customHeight="1" x14ac:dyDescent="0.25">
      <c r="A31" s="484" t="s">
        <v>1519</v>
      </c>
      <c r="B31" s="454" t="str">
        <f t="shared" ref="B31" si="8">IFERROR(VLOOKUP(A31,Tabla_Datos,2,FALSE),0)</f>
        <v xml:space="preserve">chapa micro perforada </v>
      </c>
      <c r="C31" s="455" t="str">
        <f t="shared" ref="C31" si="9">IFERROR(VLOOKUP(A31,Tabla_Datos,3,FALSE),0)</f>
        <v>kg</v>
      </c>
      <c r="D31" s="485">
        <v>0</v>
      </c>
      <c r="E31" s="487">
        <f t="shared" ref="E31" si="10">IFERROR(VLOOKUP(A31,Tabla_Comp_Presup,7,FALSE),0)</f>
        <v>0</v>
      </c>
      <c r="F31" s="487">
        <f t="shared" ref="F31" si="11">ROUND(D31*E31,15)</f>
        <v>0</v>
      </c>
    </row>
    <row r="32" spans="1:8" ht="20.100000000000001" customHeight="1" x14ac:dyDescent="0.25">
      <c r="A32" s="484">
        <v>5</v>
      </c>
      <c r="B32" s="454" t="str">
        <f t="shared" si="0"/>
        <v>ALBAÑILERÍA | CERRAMIENTOS VERTICALES</v>
      </c>
      <c r="C32" s="455">
        <f t="shared" si="1"/>
        <v>0</v>
      </c>
      <c r="D32" s="485"/>
      <c r="E32" s="487">
        <f t="shared" si="2"/>
        <v>0</v>
      </c>
      <c r="F32" s="487">
        <f t="shared" si="3"/>
        <v>0</v>
      </c>
    </row>
    <row r="33" spans="1:9" ht="20.100000000000001" customHeight="1" x14ac:dyDescent="0.25">
      <c r="A33" s="484" t="s">
        <v>1304</v>
      </c>
      <c r="B33" s="454" t="str">
        <f t="shared" si="0"/>
        <v>Mampostería interior - Tabique Liviano</v>
      </c>
      <c r="C33" s="455" t="str">
        <f t="shared" si="1"/>
        <v>m2</v>
      </c>
      <c r="D33" s="485">
        <v>104.43</v>
      </c>
      <c r="E33" s="487">
        <f t="shared" si="2"/>
        <v>0</v>
      </c>
      <c r="F33" s="487">
        <f t="shared" si="3"/>
        <v>0</v>
      </c>
    </row>
    <row r="34" spans="1:9" ht="20.100000000000001" customHeight="1" x14ac:dyDescent="0.25">
      <c r="A34" s="484" t="s">
        <v>1305</v>
      </c>
      <c r="B34" s="454" t="str">
        <f t="shared" si="0"/>
        <v>Mampostería exterior -  Muro de ladrillo ceramico hueco</v>
      </c>
      <c r="C34" s="455" t="str">
        <f t="shared" si="1"/>
        <v>m2</v>
      </c>
      <c r="D34" s="485">
        <v>73.86</v>
      </c>
      <c r="E34" s="487">
        <f t="shared" si="2"/>
        <v>0</v>
      </c>
      <c r="F34" s="487">
        <f t="shared" si="3"/>
        <v>0</v>
      </c>
    </row>
    <row r="35" spans="1:9" ht="20.100000000000001" customHeight="1" x14ac:dyDescent="0.25">
      <c r="A35" s="484">
        <v>6</v>
      </c>
      <c r="B35" s="454" t="str">
        <f t="shared" si="0"/>
        <v>AISLACIONES Y REVOQUES</v>
      </c>
      <c r="C35" s="455">
        <f t="shared" si="1"/>
        <v>0</v>
      </c>
      <c r="D35" s="485"/>
      <c r="E35" s="487">
        <f t="shared" si="2"/>
        <v>0</v>
      </c>
      <c r="F35" s="487">
        <f t="shared" si="3"/>
        <v>0</v>
      </c>
    </row>
    <row r="36" spans="1:9" ht="20.100000000000001" customHeight="1" x14ac:dyDescent="0.25">
      <c r="A36" s="484" t="s">
        <v>1306</v>
      </c>
      <c r="B36" s="454" t="str">
        <f>IFERROR(VLOOKUP(A36,Tabla_Datos,2,FALSE),0)</f>
        <v>Aislación hidrófuga horizontal en muros PB (cajón)</v>
      </c>
      <c r="C36" s="455" t="str">
        <f>IFERROR(VLOOKUP(A36,Tabla_Datos,3,FALSE),0)</f>
        <v>m2</v>
      </c>
      <c r="D36" s="485">
        <v>0.73155555555555551</v>
      </c>
      <c r="E36" s="487">
        <f>IFERROR(VLOOKUP(A36,Tabla_Comp_Presup,7,FALSE),0)</f>
        <v>0</v>
      </c>
      <c r="F36" s="487">
        <f>ROUND(D36*E36,15)</f>
        <v>0</v>
      </c>
    </row>
    <row r="37" spans="1:9" ht="20.100000000000001" customHeight="1" x14ac:dyDescent="0.25">
      <c r="A37" s="484" t="s">
        <v>1307</v>
      </c>
      <c r="B37" s="454" t="str">
        <f t="shared" si="0"/>
        <v>Revoque grueso bajo revestimiento en locales húmedos</v>
      </c>
      <c r="C37" s="455" t="str">
        <f t="shared" si="1"/>
        <v>m2</v>
      </c>
      <c r="D37" s="485">
        <v>17.113</v>
      </c>
      <c r="E37" s="487">
        <f t="shared" si="2"/>
        <v>0</v>
      </c>
      <c r="F37" s="487">
        <f t="shared" si="3"/>
        <v>0</v>
      </c>
    </row>
    <row r="38" spans="1:9" ht="20.100000000000001" customHeight="1" x14ac:dyDescent="0.25">
      <c r="A38" s="484" t="s">
        <v>1308</v>
      </c>
      <c r="B38" s="454" t="str">
        <f>IFERROR(VLOOKUP(A38,Tabla_Datos,2,FALSE),0)</f>
        <v xml:space="preserve">Revoque  y enlucido interior </v>
      </c>
      <c r="C38" s="455" t="str">
        <f>IFERROR(VLOOKUP(A38,Tabla_Datos,3,FALSE),0)</f>
        <v>m2</v>
      </c>
      <c r="D38" s="485">
        <v>56.724999999999994</v>
      </c>
      <c r="E38" s="487">
        <f>IFERROR(VLOOKUP(A38,Tabla_Comp_Presup,7,FALSE),0)</f>
        <v>0</v>
      </c>
      <c r="F38" s="487">
        <f>ROUND(D38*E38,15)</f>
        <v>0</v>
      </c>
    </row>
    <row r="39" spans="1:9" ht="20.100000000000001" customHeight="1" x14ac:dyDescent="0.25">
      <c r="A39" s="484" t="s">
        <v>1309</v>
      </c>
      <c r="B39" s="454" t="str">
        <f t="shared" si="0"/>
        <v>Revoque exterior</v>
      </c>
      <c r="C39" s="455" t="str">
        <f t="shared" si="1"/>
        <v>m2</v>
      </c>
      <c r="D39" s="485">
        <v>68.60499999999999</v>
      </c>
      <c r="E39" s="487">
        <f t="shared" si="2"/>
        <v>0</v>
      </c>
      <c r="F39" s="487">
        <f t="shared" si="3"/>
        <v>0</v>
      </c>
    </row>
    <row r="40" spans="1:9" ht="20.100000000000001" customHeight="1" x14ac:dyDescent="0.25">
      <c r="A40" s="484">
        <v>7</v>
      </c>
      <c r="B40" s="454" t="str">
        <f t="shared" si="0"/>
        <v>REVESTIMIENTOS</v>
      </c>
      <c r="C40" s="455">
        <f t="shared" si="1"/>
        <v>0</v>
      </c>
      <c r="D40" s="485"/>
      <c r="E40" s="487">
        <f t="shared" si="2"/>
        <v>0</v>
      </c>
      <c r="F40" s="487">
        <f t="shared" si="3"/>
        <v>0</v>
      </c>
    </row>
    <row r="41" spans="1:9" ht="20.100000000000001" customHeight="1" x14ac:dyDescent="0.25">
      <c r="A41" s="484" t="s">
        <v>1310</v>
      </c>
      <c r="B41" s="454" t="str">
        <f t="shared" si="0"/>
        <v>Cerámico Cocina y baño</v>
      </c>
      <c r="C41" s="455" t="str">
        <f t="shared" si="1"/>
        <v>m2</v>
      </c>
      <c r="D41" s="485">
        <v>19.8</v>
      </c>
      <c r="E41" s="487">
        <f t="shared" si="2"/>
        <v>0</v>
      </c>
      <c r="F41" s="487">
        <f t="shared" si="3"/>
        <v>0</v>
      </c>
    </row>
    <row r="42" spans="1:9" ht="20.100000000000001" customHeight="1" x14ac:dyDescent="0.25">
      <c r="A42" s="484">
        <v>8</v>
      </c>
      <c r="B42" s="454" t="str">
        <f t="shared" si="0"/>
        <v>PINTURA</v>
      </c>
      <c r="C42" s="455">
        <f t="shared" si="1"/>
        <v>0</v>
      </c>
      <c r="D42" s="485"/>
      <c r="E42" s="487">
        <f t="shared" si="2"/>
        <v>0</v>
      </c>
      <c r="F42" s="487">
        <f t="shared" si="3"/>
        <v>0</v>
      </c>
    </row>
    <row r="43" spans="1:9" ht="20.100000000000001" customHeight="1" x14ac:dyDescent="0.25">
      <c r="A43" s="484" t="s">
        <v>1311</v>
      </c>
      <c r="B43" s="454" t="str">
        <f t="shared" si="0"/>
        <v>Pintura al látex en muros</v>
      </c>
      <c r="C43" s="455" t="str">
        <f t="shared" si="1"/>
        <v>m2</v>
      </c>
      <c r="D43" s="485">
        <v>56.72</v>
      </c>
      <c r="E43" s="487">
        <f t="shared" si="2"/>
        <v>0</v>
      </c>
      <c r="F43" s="487">
        <f t="shared" si="3"/>
        <v>0</v>
      </c>
    </row>
    <row r="44" spans="1:9" ht="20.100000000000001" customHeight="1" x14ac:dyDescent="0.25">
      <c r="A44" s="484" t="s">
        <v>1312</v>
      </c>
      <c r="B44" s="454" t="str">
        <f t="shared" si="0"/>
        <v>Pintura al látex en cielorrasos</v>
      </c>
      <c r="C44" s="455" t="str">
        <f t="shared" si="1"/>
        <v>m2</v>
      </c>
      <c r="D44" s="485">
        <v>65.61</v>
      </c>
      <c r="E44" s="487">
        <f t="shared" si="2"/>
        <v>0</v>
      </c>
      <c r="F44" s="487">
        <f>ROUND(D44*E44,15)</f>
        <v>0</v>
      </c>
      <c r="I44" s="362"/>
    </row>
    <row r="45" spans="1:9" ht="20.100000000000001" customHeight="1" x14ac:dyDescent="0.25">
      <c r="A45" s="484" t="s">
        <v>1313</v>
      </c>
      <c r="B45" s="454" t="str">
        <f t="shared" si="0"/>
        <v xml:space="preserve">Pintura látex antihongos                                                                                                                                                                   </v>
      </c>
      <c r="C45" s="455" t="str">
        <f t="shared" si="1"/>
        <v>m2</v>
      </c>
      <c r="D45" s="485">
        <v>4.1100000000000003</v>
      </c>
      <c r="E45" s="487">
        <f t="shared" si="2"/>
        <v>0</v>
      </c>
      <c r="F45" s="487">
        <f t="shared" si="3"/>
        <v>0</v>
      </c>
    </row>
    <row r="46" spans="1:9" ht="20.100000000000001" customHeight="1" x14ac:dyDescent="0.25">
      <c r="A46" s="484" t="s">
        <v>1314</v>
      </c>
      <c r="B46" s="454" t="str">
        <f t="shared" ref="B46:B102" si="12">IFERROR(VLOOKUP(A46,Tabla_Datos,2,FALSE),0)</f>
        <v>Pintura al látex exterioren muros</v>
      </c>
      <c r="C46" s="455" t="str">
        <f t="shared" ref="C46:C102" si="13">IFERROR(VLOOKUP(A46,Tabla_Datos,3,FALSE),0)</f>
        <v>m2</v>
      </c>
      <c r="D46" s="485">
        <v>73.86</v>
      </c>
      <c r="E46" s="487">
        <f t="shared" ref="E46:E102" si="14">IFERROR(VLOOKUP(A46,Tabla_Comp_Presup,7,FALSE),0)</f>
        <v>0</v>
      </c>
      <c r="F46" s="487">
        <f t="shared" ref="F46:F102" si="15">ROUND(D46*E46,15)</f>
        <v>0</v>
      </c>
    </row>
    <row r="47" spans="1:9" ht="20.100000000000001" customHeight="1" x14ac:dyDescent="0.25">
      <c r="A47" s="484" t="s">
        <v>1315</v>
      </c>
      <c r="B47" s="454" t="str">
        <f t="shared" si="12"/>
        <v>Pintura esmalte sintético carpinterías de chapa</v>
      </c>
      <c r="C47" s="455" t="str">
        <f t="shared" si="13"/>
        <v>gl</v>
      </c>
      <c r="D47" s="485">
        <v>1</v>
      </c>
      <c r="E47" s="487">
        <f t="shared" si="14"/>
        <v>0</v>
      </c>
      <c r="F47" s="487">
        <f t="shared" si="15"/>
        <v>0</v>
      </c>
    </row>
    <row r="48" spans="1:9" ht="20.100000000000001" customHeight="1" x14ac:dyDescent="0.25">
      <c r="A48" s="484" t="s">
        <v>1316</v>
      </c>
      <c r="B48" s="454" t="str">
        <f t="shared" si="12"/>
        <v>Pintura esmalte sintético carpinterías de madera</v>
      </c>
      <c r="C48" s="455" t="str">
        <f t="shared" si="13"/>
        <v>gl</v>
      </c>
      <c r="D48" s="485">
        <v>1</v>
      </c>
      <c r="E48" s="487">
        <f t="shared" si="14"/>
        <v>0</v>
      </c>
      <c r="F48" s="487">
        <f t="shared" si="15"/>
        <v>0</v>
      </c>
    </row>
    <row r="49" spans="1:6" ht="20.100000000000001" customHeight="1" x14ac:dyDescent="0.25">
      <c r="A49" s="484">
        <v>9</v>
      </c>
      <c r="B49" s="454" t="str">
        <f t="shared" si="12"/>
        <v>CONTRAPISOS y CARPETAS</v>
      </c>
      <c r="C49" s="455">
        <f t="shared" si="13"/>
        <v>0</v>
      </c>
      <c r="D49" s="485"/>
      <c r="E49" s="487">
        <f t="shared" si="14"/>
        <v>0</v>
      </c>
      <c r="F49" s="487">
        <f t="shared" si="15"/>
        <v>0</v>
      </c>
    </row>
    <row r="50" spans="1:6" ht="20.100000000000001" customHeight="1" x14ac:dyDescent="0.25">
      <c r="A50" s="484" t="s">
        <v>1328</v>
      </c>
      <c r="B50" s="454" t="str">
        <f t="shared" si="12"/>
        <v xml:space="preserve">Contrapiso sobre losa de HºPº esp= 8cm </v>
      </c>
      <c r="C50" s="455" t="str">
        <f t="shared" si="13"/>
        <v>m2</v>
      </c>
      <c r="D50" s="485">
        <v>65.63</v>
      </c>
      <c r="E50" s="487">
        <f t="shared" si="14"/>
        <v>0</v>
      </c>
      <c r="F50" s="487">
        <f t="shared" si="15"/>
        <v>0</v>
      </c>
    </row>
    <row r="51" spans="1:6" ht="20.100000000000001" customHeight="1" x14ac:dyDescent="0.25">
      <c r="A51" s="484" t="s">
        <v>1329</v>
      </c>
      <c r="B51" s="454" t="str">
        <f t="shared" si="12"/>
        <v>Contrapiso para terrazas o azoteas con pendiente según documentación de Proyecto</v>
      </c>
      <c r="C51" s="455" t="str">
        <f t="shared" si="13"/>
        <v>m2</v>
      </c>
      <c r="D51" s="485">
        <v>1.22</v>
      </c>
      <c r="E51" s="487">
        <f t="shared" si="14"/>
        <v>0</v>
      </c>
      <c r="F51" s="487">
        <f t="shared" si="15"/>
        <v>0</v>
      </c>
    </row>
    <row r="52" spans="1:6" ht="20.100000000000001" customHeight="1" x14ac:dyDescent="0.25">
      <c r="A52" s="484" t="s">
        <v>1330</v>
      </c>
      <c r="B52" s="454" t="str">
        <f t="shared" si="12"/>
        <v>Banquina bajo mueble de cocina</v>
      </c>
      <c r="C52" s="455" t="str">
        <f t="shared" si="13"/>
        <v>m2</v>
      </c>
      <c r="D52" s="485"/>
      <c r="E52" s="487">
        <f t="shared" si="14"/>
        <v>0</v>
      </c>
      <c r="F52" s="487">
        <f t="shared" si="15"/>
        <v>0</v>
      </c>
    </row>
    <row r="53" spans="1:6" ht="20.100000000000001" customHeight="1" x14ac:dyDescent="0.25">
      <c r="A53" s="484" t="s">
        <v>1331</v>
      </c>
      <c r="B53" s="454" t="str">
        <f t="shared" si="12"/>
        <v xml:space="preserve">Carpeta bajo ceramico </v>
      </c>
      <c r="C53" s="455" t="str">
        <f t="shared" si="13"/>
        <v>m2</v>
      </c>
      <c r="D53" s="485">
        <v>65.638900000000007</v>
      </c>
      <c r="E53" s="487">
        <f t="shared" si="14"/>
        <v>0</v>
      </c>
      <c r="F53" s="487">
        <f t="shared" si="15"/>
        <v>0</v>
      </c>
    </row>
    <row r="54" spans="1:6" ht="20.100000000000001" customHeight="1" x14ac:dyDescent="0.25">
      <c r="A54" s="484">
        <v>10</v>
      </c>
      <c r="B54" s="454" t="str">
        <f t="shared" si="12"/>
        <v xml:space="preserve">PISOS Y ZOCALOS </v>
      </c>
      <c r="C54" s="455">
        <f t="shared" si="13"/>
        <v>0</v>
      </c>
      <c r="D54" s="485"/>
      <c r="E54" s="487">
        <f t="shared" si="14"/>
        <v>0</v>
      </c>
      <c r="F54" s="487">
        <f t="shared" si="15"/>
        <v>0</v>
      </c>
    </row>
    <row r="55" spans="1:6" ht="20.100000000000001" customHeight="1" x14ac:dyDescent="0.25">
      <c r="A55" s="484" t="s">
        <v>1332</v>
      </c>
      <c r="B55" s="454" t="str">
        <f t="shared" si="12"/>
        <v>Piso ceramico de primera calidad</v>
      </c>
      <c r="C55" s="455" t="str">
        <f t="shared" si="13"/>
        <v>m2</v>
      </c>
      <c r="D55" s="485">
        <v>65.638900000000007</v>
      </c>
      <c r="E55" s="487">
        <f t="shared" si="14"/>
        <v>0</v>
      </c>
      <c r="F55" s="487">
        <f t="shared" si="15"/>
        <v>0</v>
      </c>
    </row>
    <row r="56" spans="1:6" ht="20.100000000000001" customHeight="1" x14ac:dyDescent="0.25">
      <c r="A56" s="484" t="s">
        <v>1333</v>
      </c>
      <c r="B56" s="454" t="str">
        <f t="shared" si="12"/>
        <v>Zocalo ceramico</v>
      </c>
      <c r="C56" s="455" t="str">
        <f t="shared" si="13"/>
        <v>ml</v>
      </c>
      <c r="D56" s="485">
        <v>107.59</v>
      </c>
      <c r="E56" s="487">
        <f t="shared" si="14"/>
        <v>0</v>
      </c>
      <c r="F56" s="487">
        <f t="shared" si="15"/>
        <v>0</v>
      </c>
    </row>
    <row r="57" spans="1:6" ht="20.100000000000001" customHeight="1" x14ac:dyDescent="0.25">
      <c r="A57" s="484">
        <v>11</v>
      </c>
      <c r="B57" s="454" t="str">
        <f t="shared" si="12"/>
        <v xml:space="preserve">CIELORRASOS  </v>
      </c>
      <c r="C57" s="455">
        <f t="shared" si="13"/>
        <v>0</v>
      </c>
      <c r="D57" s="485"/>
      <c r="E57" s="487">
        <f t="shared" si="14"/>
        <v>0</v>
      </c>
      <c r="F57" s="487">
        <f t="shared" si="15"/>
        <v>0</v>
      </c>
    </row>
    <row r="58" spans="1:6" ht="20.100000000000001" customHeight="1" x14ac:dyDescent="0.25">
      <c r="A58" s="484" t="s">
        <v>1334</v>
      </c>
      <c r="B58" s="454" t="str">
        <f t="shared" si="12"/>
        <v>Cielorraso aplicado enlucido de yeso</v>
      </c>
      <c r="C58" s="455" t="str">
        <f t="shared" si="13"/>
        <v>m2</v>
      </c>
      <c r="D58" s="485">
        <v>65.291700000000006</v>
      </c>
      <c r="E58" s="487">
        <f t="shared" si="14"/>
        <v>0</v>
      </c>
      <c r="F58" s="487">
        <f t="shared" si="15"/>
        <v>0</v>
      </c>
    </row>
    <row r="59" spans="1:6" ht="20.100000000000001" customHeight="1" x14ac:dyDescent="0.25">
      <c r="A59" s="484" t="s">
        <v>1335</v>
      </c>
      <c r="B59" s="454" t="str">
        <f t="shared" si="12"/>
        <v>Suspendidos de placa de roca de yeso resistente a la humedad ( con proteccion acustica)</v>
      </c>
      <c r="C59" s="455" t="str">
        <f t="shared" si="13"/>
        <v>m2</v>
      </c>
      <c r="D59" s="485">
        <v>4.1120000000000001</v>
      </c>
      <c r="E59" s="487">
        <f t="shared" si="14"/>
        <v>0</v>
      </c>
      <c r="F59" s="487">
        <f t="shared" si="15"/>
        <v>0</v>
      </c>
    </row>
    <row r="60" spans="1:6" ht="20.100000000000001" customHeight="1" x14ac:dyDescent="0.25">
      <c r="A60" s="484">
        <v>12</v>
      </c>
      <c r="B60" s="454" t="str">
        <f t="shared" si="12"/>
        <v xml:space="preserve">CUBIERTA </v>
      </c>
      <c r="C60" s="455">
        <f t="shared" si="13"/>
        <v>0</v>
      </c>
      <c r="D60" s="485"/>
      <c r="E60" s="487">
        <f t="shared" si="14"/>
        <v>0</v>
      </c>
      <c r="F60" s="487">
        <f t="shared" si="15"/>
        <v>0</v>
      </c>
    </row>
    <row r="61" spans="1:6" ht="20.100000000000001" customHeight="1" x14ac:dyDescent="0.25">
      <c r="A61" s="484" t="s">
        <v>1386</v>
      </c>
      <c r="B61" s="454" t="str">
        <f t="shared" si="12"/>
        <v>Hormigón Liviano con Pendiente | esp min 5 cm</v>
      </c>
      <c r="C61" s="455" t="str">
        <f t="shared" si="13"/>
        <v>m2</v>
      </c>
      <c r="D61" s="485">
        <v>9.39</v>
      </c>
      <c r="E61" s="487">
        <f t="shared" si="14"/>
        <v>0</v>
      </c>
      <c r="F61" s="487">
        <f t="shared" si="15"/>
        <v>0</v>
      </c>
    </row>
    <row r="62" spans="1:6" ht="20.100000000000001" customHeight="1" x14ac:dyDescent="0.25">
      <c r="A62" s="484" t="s">
        <v>1387</v>
      </c>
      <c r="B62" s="454" t="str">
        <f t="shared" si="12"/>
        <v>Pintura asfáltica para imprimación de membrana</v>
      </c>
      <c r="C62" s="455" t="str">
        <f t="shared" si="13"/>
        <v>m2</v>
      </c>
      <c r="D62" s="485">
        <v>9.39</v>
      </c>
      <c r="E62" s="487">
        <f t="shared" si="14"/>
        <v>0</v>
      </c>
      <c r="F62" s="487">
        <f t="shared" si="15"/>
        <v>0</v>
      </c>
    </row>
    <row r="63" spans="1:6" ht="20.100000000000001" customHeight="1" x14ac:dyDescent="0.25">
      <c r="A63" s="484" t="s">
        <v>1388</v>
      </c>
      <c r="B63" s="454" t="str">
        <f t="shared" si="12"/>
        <v>Membrana Asfáltica 4mm terminación aluminio gofrado de 40 micrones</v>
      </c>
      <c r="C63" s="455" t="str">
        <f t="shared" si="13"/>
        <v>m2</v>
      </c>
      <c r="D63" s="485">
        <v>9.39</v>
      </c>
      <c r="E63" s="487">
        <f t="shared" si="14"/>
        <v>0</v>
      </c>
      <c r="F63" s="487">
        <f t="shared" si="15"/>
        <v>0</v>
      </c>
    </row>
    <row r="64" spans="1:6" ht="20.100000000000001" customHeight="1" x14ac:dyDescent="0.25">
      <c r="A64" s="484">
        <v>13</v>
      </c>
      <c r="B64" s="454" t="str">
        <f t="shared" si="12"/>
        <v>CARPINTERIAS</v>
      </c>
      <c r="C64" s="455">
        <f t="shared" si="13"/>
        <v>0</v>
      </c>
      <c r="D64" s="485"/>
      <c r="E64" s="487">
        <f t="shared" si="14"/>
        <v>0</v>
      </c>
      <c r="F64" s="487">
        <f t="shared" si="15"/>
        <v>0</v>
      </c>
    </row>
    <row r="65" spans="1:6" ht="20.100000000000001" customHeight="1" x14ac:dyDescent="0.25">
      <c r="A65" s="484" t="s">
        <v>1389</v>
      </c>
      <c r="B65" s="454" t="str">
        <f t="shared" si="12"/>
        <v>Carpinterías interiores de madera</v>
      </c>
      <c r="C65" s="455" t="str">
        <f t="shared" si="13"/>
        <v>u</v>
      </c>
      <c r="D65" s="485">
        <v>3</v>
      </c>
      <c r="E65" s="487">
        <f t="shared" si="14"/>
        <v>0</v>
      </c>
      <c r="F65" s="487">
        <f t="shared" si="15"/>
        <v>0</v>
      </c>
    </row>
    <row r="66" spans="1:6" ht="20.100000000000001" customHeight="1" x14ac:dyDescent="0.25">
      <c r="A66" s="484" t="s">
        <v>1390</v>
      </c>
      <c r="B66" s="454" t="str">
        <f t="shared" si="12"/>
        <v>Puerta de ingreso a vivienda (2.05 x 0.9)</v>
      </c>
      <c r="C66" s="455" t="str">
        <f t="shared" si="13"/>
        <v>u</v>
      </c>
      <c r="D66" s="485">
        <v>1</v>
      </c>
      <c r="E66" s="487">
        <f t="shared" si="14"/>
        <v>0</v>
      </c>
      <c r="F66" s="487">
        <f t="shared" si="15"/>
        <v>0</v>
      </c>
    </row>
    <row r="67" spans="1:6" ht="20.100000000000001" customHeight="1" x14ac:dyDescent="0.25">
      <c r="A67" s="484" t="s">
        <v>1391</v>
      </c>
      <c r="B67" s="454" t="str">
        <f t="shared" si="12"/>
        <v>Ventanas Tipo C02(2,40 x 1,55)</v>
      </c>
      <c r="C67" s="455" t="str">
        <f t="shared" si="13"/>
        <v>u</v>
      </c>
      <c r="D67" s="485">
        <v>1</v>
      </c>
      <c r="E67" s="487">
        <f t="shared" si="14"/>
        <v>0</v>
      </c>
      <c r="F67" s="487">
        <f t="shared" si="15"/>
        <v>0</v>
      </c>
    </row>
    <row r="68" spans="1:6" ht="20.100000000000001" customHeight="1" x14ac:dyDescent="0.25">
      <c r="A68" s="484" t="s">
        <v>1392</v>
      </c>
      <c r="B68" s="454" t="str">
        <f>IFERROR(VLOOKUP(A68,Tabla_Datos,2,FALSE),0)</f>
        <v>Ventanas Tipo C05 (1,20 x 1,55)</v>
      </c>
      <c r="C68" s="455" t="str">
        <f t="shared" si="13"/>
        <v>u</v>
      </c>
      <c r="D68" s="485">
        <v>2</v>
      </c>
      <c r="E68" s="487">
        <f t="shared" si="14"/>
        <v>0</v>
      </c>
      <c r="F68" s="487">
        <f t="shared" si="15"/>
        <v>0</v>
      </c>
    </row>
    <row r="69" spans="1:6" ht="20.100000000000001" customHeight="1" x14ac:dyDescent="0.25">
      <c r="A69" s="484">
        <v>14</v>
      </c>
      <c r="B69" s="454" t="str">
        <f t="shared" si="12"/>
        <v>MARMOLERÍA</v>
      </c>
      <c r="C69" s="455">
        <f t="shared" si="13"/>
        <v>0</v>
      </c>
      <c r="D69" s="485"/>
      <c r="E69" s="487">
        <f t="shared" si="14"/>
        <v>0</v>
      </c>
      <c r="F69" s="487">
        <f t="shared" si="15"/>
        <v>0</v>
      </c>
    </row>
    <row r="70" spans="1:6" ht="20.100000000000001" customHeight="1" x14ac:dyDescent="0.25">
      <c r="A70" s="484" t="s">
        <v>1393</v>
      </c>
      <c r="B70" s="454" t="str">
        <f t="shared" si="12"/>
        <v>Mesada de cocina en granito</v>
      </c>
      <c r="C70" s="455" t="str">
        <f t="shared" si="13"/>
        <v>m2</v>
      </c>
      <c r="D70" s="485">
        <v>1.55</v>
      </c>
      <c r="E70" s="487">
        <f t="shared" si="14"/>
        <v>0</v>
      </c>
      <c r="F70" s="487">
        <f t="shared" si="15"/>
        <v>0</v>
      </c>
    </row>
    <row r="71" spans="1:6" ht="20.100000000000001" customHeight="1" x14ac:dyDescent="0.25">
      <c r="A71" s="484">
        <v>15</v>
      </c>
      <c r="B71" s="454" t="str">
        <f t="shared" si="12"/>
        <v>INSTALACIÓN ELÉCTRICA</v>
      </c>
      <c r="C71" s="455">
        <f t="shared" si="13"/>
        <v>0</v>
      </c>
      <c r="D71" s="485"/>
      <c r="E71" s="487">
        <f t="shared" si="14"/>
        <v>0</v>
      </c>
      <c r="F71" s="487">
        <f t="shared" si="15"/>
        <v>0</v>
      </c>
    </row>
    <row r="72" spans="1:6" ht="20.100000000000001" customHeight="1" x14ac:dyDescent="0.25">
      <c r="A72" s="484" t="s">
        <v>1394</v>
      </c>
      <c r="B72" s="454" t="str">
        <f t="shared" si="12"/>
        <v>Instalación eléctrica</v>
      </c>
      <c r="C72" s="455" t="str">
        <f t="shared" si="13"/>
        <v>gl</v>
      </c>
      <c r="D72" s="485">
        <v>1</v>
      </c>
      <c r="E72" s="487">
        <f t="shared" si="14"/>
        <v>0</v>
      </c>
      <c r="F72" s="487">
        <f t="shared" si="15"/>
        <v>0</v>
      </c>
    </row>
    <row r="73" spans="1:6" ht="20.100000000000001" customHeight="1" x14ac:dyDescent="0.25">
      <c r="A73" s="484" t="s">
        <v>1395</v>
      </c>
      <c r="B73" s="454" t="str">
        <f t="shared" si="12"/>
        <v>Tablero principal</v>
      </c>
      <c r="C73" s="455" t="str">
        <f t="shared" si="13"/>
        <v>gl</v>
      </c>
      <c r="D73" s="485">
        <v>1</v>
      </c>
      <c r="E73" s="487">
        <f t="shared" si="14"/>
        <v>0</v>
      </c>
      <c r="F73" s="487">
        <f t="shared" si="15"/>
        <v>0</v>
      </c>
    </row>
    <row r="74" spans="1:6" ht="20.100000000000001" customHeight="1" x14ac:dyDescent="0.25">
      <c r="A74" s="484" t="s">
        <v>1396</v>
      </c>
      <c r="B74" s="454" t="str">
        <f t="shared" si="12"/>
        <v>Tablero secundarios</v>
      </c>
      <c r="C74" s="455" t="str">
        <f t="shared" si="13"/>
        <v>gl</v>
      </c>
      <c r="D74" s="485">
        <v>1</v>
      </c>
      <c r="E74" s="487">
        <f t="shared" si="14"/>
        <v>0</v>
      </c>
      <c r="F74" s="487">
        <f t="shared" si="15"/>
        <v>0</v>
      </c>
    </row>
    <row r="75" spans="1:6" ht="20.100000000000001" customHeight="1" x14ac:dyDescent="0.25">
      <c r="A75" s="484" t="s">
        <v>1397</v>
      </c>
      <c r="B75" s="454" t="str">
        <f t="shared" si="12"/>
        <v>Bocas iluminación UF</v>
      </c>
      <c r="C75" s="455" t="str">
        <f t="shared" si="13"/>
        <v>gl</v>
      </c>
      <c r="D75" s="485">
        <v>1</v>
      </c>
      <c r="E75" s="487">
        <f t="shared" si="14"/>
        <v>0</v>
      </c>
      <c r="F75" s="487">
        <f t="shared" si="15"/>
        <v>0</v>
      </c>
    </row>
    <row r="76" spans="1:6" ht="20.100000000000001" customHeight="1" x14ac:dyDescent="0.25">
      <c r="A76" s="484" t="s">
        <v>1398</v>
      </c>
      <c r="B76" s="454" t="str">
        <f t="shared" si="12"/>
        <v>Bocas iluminación Uc</v>
      </c>
      <c r="C76" s="455" t="str">
        <f t="shared" si="13"/>
        <v>gl</v>
      </c>
      <c r="D76" s="485">
        <v>1</v>
      </c>
      <c r="E76" s="487">
        <f t="shared" si="14"/>
        <v>0</v>
      </c>
      <c r="F76" s="487">
        <f t="shared" si="15"/>
        <v>0</v>
      </c>
    </row>
    <row r="77" spans="1:6" ht="20.100000000000001" customHeight="1" x14ac:dyDescent="0.25">
      <c r="A77" s="484" t="s">
        <v>1399</v>
      </c>
      <c r="B77" s="454" t="str">
        <f t="shared" si="12"/>
        <v>Boca toma corriente uso común</v>
      </c>
      <c r="C77" s="455" t="str">
        <f t="shared" si="13"/>
        <v>gl</v>
      </c>
      <c r="D77" s="485">
        <v>1</v>
      </c>
      <c r="E77" s="487">
        <f t="shared" si="14"/>
        <v>0</v>
      </c>
      <c r="F77" s="487">
        <f t="shared" si="15"/>
        <v>0</v>
      </c>
    </row>
    <row r="78" spans="1:6" ht="20.100000000000001" customHeight="1" x14ac:dyDescent="0.25">
      <c r="A78" s="484" t="s">
        <v>1400</v>
      </c>
      <c r="B78" s="454" t="str">
        <f t="shared" si="12"/>
        <v>Llaves</v>
      </c>
      <c r="C78" s="455" t="str">
        <f t="shared" si="13"/>
        <v>gl</v>
      </c>
      <c r="D78" s="485">
        <v>1</v>
      </c>
      <c r="E78" s="487">
        <f t="shared" si="14"/>
        <v>0</v>
      </c>
      <c r="F78" s="487">
        <f t="shared" si="15"/>
        <v>0</v>
      </c>
    </row>
    <row r="79" spans="1:6" ht="20.100000000000001" customHeight="1" x14ac:dyDescent="0.25">
      <c r="A79" s="484" t="s">
        <v>1401</v>
      </c>
      <c r="B79" s="454" t="str">
        <f t="shared" si="12"/>
        <v xml:space="preserve">Boca teléfono, timbre, TV y portero </v>
      </c>
      <c r="C79" s="455" t="str">
        <f t="shared" si="13"/>
        <v>gl</v>
      </c>
      <c r="D79" s="485">
        <v>1</v>
      </c>
      <c r="E79" s="487">
        <f t="shared" si="14"/>
        <v>0</v>
      </c>
      <c r="F79" s="487">
        <f t="shared" si="15"/>
        <v>0</v>
      </c>
    </row>
    <row r="80" spans="1:6" ht="20.100000000000001" customHeight="1" x14ac:dyDescent="0.25">
      <c r="A80" s="484" t="s">
        <v>1402</v>
      </c>
      <c r="B80" s="454" t="str">
        <f t="shared" si="12"/>
        <v>Instalacion equipo luz de emergencia en espacios comunes</v>
      </c>
      <c r="C80" s="455" t="str">
        <f t="shared" si="13"/>
        <v>gl</v>
      </c>
      <c r="D80" s="485">
        <v>1</v>
      </c>
      <c r="E80" s="487">
        <f t="shared" si="14"/>
        <v>0</v>
      </c>
      <c r="F80" s="487">
        <f t="shared" si="15"/>
        <v>0</v>
      </c>
    </row>
    <row r="81" spans="1:6" ht="20.100000000000001" customHeight="1" x14ac:dyDescent="0.25">
      <c r="A81" s="484" t="s">
        <v>1403</v>
      </c>
      <c r="B81" s="454" t="str">
        <f t="shared" si="12"/>
        <v>Servicios generales / pat</v>
      </c>
      <c r="C81" s="455" t="str">
        <f t="shared" si="13"/>
        <v>gl</v>
      </c>
      <c r="D81" s="485">
        <v>1</v>
      </c>
      <c r="E81" s="487">
        <f t="shared" si="14"/>
        <v>0</v>
      </c>
      <c r="F81" s="487">
        <f t="shared" si="15"/>
        <v>0</v>
      </c>
    </row>
    <row r="82" spans="1:6" ht="20.100000000000001" customHeight="1" x14ac:dyDescent="0.25">
      <c r="A82" s="484" t="s">
        <v>1404</v>
      </c>
      <c r="B82" s="454" t="str">
        <f t="shared" si="12"/>
        <v>Instalación aire acondicionado</v>
      </c>
      <c r="C82" s="455" t="str">
        <f t="shared" si="13"/>
        <v>gl</v>
      </c>
      <c r="D82" s="485">
        <v>1</v>
      </c>
      <c r="E82" s="487">
        <f t="shared" si="14"/>
        <v>0</v>
      </c>
      <c r="F82" s="487">
        <f t="shared" si="15"/>
        <v>0</v>
      </c>
    </row>
    <row r="83" spans="1:6" ht="20.100000000000001" customHeight="1" x14ac:dyDescent="0.25">
      <c r="A83" s="484" t="s">
        <v>1405</v>
      </c>
      <c r="B83" s="454" t="str">
        <f t="shared" si="12"/>
        <v xml:space="preserve">Artefactos en locales comunes </v>
      </c>
      <c r="C83" s="455" t="str">
        <f t="shared" si="13"/>
        <v>gl</v>
      </c>
      <c r="D83" s="485">
        <v>1</v>
      </c>
      <c r="E83" s="487">
        <f t="shared" si="14"/>
        <v>0</v>
      </c>
      <c r="F83" s="487">
        <f t="shared" si="15"/>
        <v>0</v>
      </c>
    </row>
    <row r="84" spans="1:6" ht="20.100000000000001" customHeight="1" x14ac:dyDescent="0.25">
      <c r="A84" s="484" t="s">
        <v>1406</v>
      </c>
      <c r="B84" s="454" t="str">
        <f t="shared" si="12"/>
        <v>Canalizacion y cableado de comando calefon solar</v>
      </c>
      <c r="C84" s="455" t="str">
        <f t="shared" si="13"/>
        <v>gl</v>
      </c>
      <c r="D84" s="485">
        <v>1</v>
      </c>
      <c r="E84" s="487">
        <f t="shared" si="14"/>
        <v>0</v>
      </c>
      <c r="F84" s="487">
        <f t="shared" si="15"/>
        <v>0</v>
      </c>
    </row>
    <row r="85" spans="1:6" ht="20.100000000000001" customHeight="1" x14ac:dyDescent="0.25">
      <c r="A85" s="484">
        <v>16</v>
      </c>
      <c r="B85" s="454" t="str">
        <f t="shared" si="12"/>
        <v>INSTALACIÓN SANITARIA</v>
      </c>
      <c r="C85" s="455">
        <f t="shared" si="13"/>
        <v>0</v>
      </c>
      <c r="D85" s="485"/>
      <c r="E85" s="487">
        <f t="shared" si="14"/>
        <v>0</v>
      </c>
      <c r="F85" s="487">
        <f t="shared" si="15"/>
        <v>0</v>
      </c>
    </row>
    <row r="86" spans="1:6" ht="20.100000000000001" customHeight="1" x14ac:dyDescent="0.25">
      <c r="A86" s="484" t="s">
        <v>1407</v>
      </c>
      <c r="B86" s="454" t="str">
        <f t="shared" si="12"/>
        <v>Instalación agua fría y caliente</v>
      </c>
      <c r="C86" s="455" t="str">
        <f t="shared" si="13"/>
        <v>gl</v>
      </c>
      <c r="D86" s="485">
        <v>1</v>
      </c>
      <c r="E86" s="487">
        <f t="shared" si="14"/>
        <v>0</v>
      </c>
      <c r="F86" s="487">
        <f t="shared" si="15"/>
        <v>0</v>
      </c>
    </row>
    <row r="87" spans="1:6" ht="20.100000000000001" customHeight="1" x14ac:dyDescent="0.25">
      <c r="A87" s="484" t="s">
        <v>1408</v>
      </c>
      <c r="B87" s="454" t="str">
        <f t="shared" si="12"/>
        <v>Desagües Cloacales</v>
      </c>
      <c r="C87" s="455" t="str">
        <f t="shared" si="13"/>
        <v>gl</v>
      </c>
      <c r="D87" s="485">
        <v>1</v>
      </c>
      <c r="E87" s="487">
        <f t="shared" si="14"/>
        <v>0</v>
      </c>
      <c r="F87" s="487">
        <f t="shared" si="15"/>
        <v>0</v>
      </c>
    </row>
    <row r="88" spans="1:6" ht="20.100000000000001" customHeight="1" x14ac:dyDescent="0.25">
      <c r="A88" s="484" t="s">
        <v>1409</v>
      </c>
      <c r="B88" s="454" t="str">
        <f t="shared" si="12"/>
        <v>Desagües Pluviales</v>
      </c>
      <c r="C88" s="455" t="str">
        <f t="shared" si="13"/>
        <v>gl</v>
      </c>
      <c r="D88" s="485">
        <v>1</v>
      </c>
      <c r="E88" s="487">
        <f t="shared" si="14"/>
        <v>0</v>
      </c>
      <c r="F88" s="487">
        <f t="shared" si="15"/>
        <v>0</v>
      </c>
    </row>
    <row r="89" spans="1:6" ht="20.100000000000001" customHeight="1" x14ac:dyDescent="0.25">
      <c r="A89" s="484" t="s">
        <v>1410</v>
      </c>
      <c r="B89" s="454" t="str">
        <f t="shared" si="12"/>
        <v>Desagüe aire acondicionado</v>
      </c>
      <c r="C89" s="455" t="str">
        <f t="shared" si="13"/>
        <v>gl</v>
      </c>
      <c r="D89" s="485">
        <v>1</v>
      </c>
      <c r="E89" s="487">
        <f t="shared" si="14"/>
        <v>0</v>
      </c>
      <c r="F89" s="487">
        <f t="shared" si="15"/>
        <v>0</v>
      </c>
    </row>
    <row r="90" spans="1:6" ht="20.100000000000001" customHeight="1" x14ac:dyDescent="0.25">
      <c r="A90" s="484" t="s">
        <v>1411</v>
      </c>
      <c r="B90" s="454" t="str">
        <f t="shared" si="12"/>
        <v xml:space="preserve">Artefactos sanitarios  </v>
      </c>
      <c r="C90" s="455" t="str">
        <f t="shared" si="13"/>
        <v>gl</v>
      </c>
      <c r="D90" s="485">
        <v>1</v>
      </c>
      <c r="E90" s="487">
        <f t="shared" si="14"/>
        <v>0</v>
      </c>
      <c r="F90" s="487">
        <f t="shared" si="15"/>
        <v>0</v>
      </c>
    </row>
    <row r="91" spans="1:6" ht="20.100000000000001" customHeight="1" x14ac:dyDescent="0.25">
      <c r="A91" s="484" t="s">
        <v>1412</v>
      </c>
      <c r="B91" s="454" t="str">
        <f t="shared" si="12"/>
        <v>Griferia de sanitario y cocina</v>
      </c>
      <c r="C91" s="455" t="str">
        <f t="shared" si="13"/>
        <v>gl</v>
      </c>
      <c r="D91" s="485">
        <v>1</v>
      </c>
      <c r="E91" s="487">
        <f t="shared" si="14"/>
        <v>0</v>
      </c>
      <c r="F91" s="487">
        <f t="shared" si="15"/>
        <v>0</v>
      </c>
    </row>
    <row r="92" spans="1:6" ht="20.100000000000001" customHeight="1" x14ac:dyDescent="0.25">
      <c r="A92" s="484" t="s">
        <v>1413</v>
      </c>
      <c r="B92" s="454" t="str">
        <f t="shared" si="12"/>
        <v>Accesorios de sanitarios</v>
      </c>
      <c r="C92" s="455" t="str">
        <f t="shared" si="13"/>
        <v>gl</v>
      </c>
      <c r="D92" s="485">
        <v>1</v>
      </c>
      <c r="E92" s="487">
        <f t="shared" si="14"/>
        <v>0</v>
      </c>
      <c r="F92" s="487">
        <f t="shared" si="15"/>
        <v>0</v>
      </c>
    </row>
    <row r="93" spans="1:6" ht="20.100000000000001" customHeight="1" x14ac:dyDescent="0.25">
      <c r="A93" s="484" t="s">
        <v>1414</v>
      </c>
      <c r="B93" s="454" t="str">
        <f t="shared" si="12"/>
        <v>Tanque de bombeo (5000 litros)</v>
      </c>
      <c r="C93" s="455" t="str">
        <f t="shared" si="13"/>
        <v>gl</v>
      </c>
      <c r="D93" s="485">
        <v>5.5550000000000002E-2</v>
      </c>
      <c r="E93" s="487">
        <f t="shared" si="14"/>
        <v>0</v>
      </c>
      <c r="F93" s="487">
        <f t="shared" si="15"/>
        <v>0</v>
      </c>
    </row>
    <row r="94" spans="1:6" ht="20.100000000000001" customHeight="1" x14ac:dyDescent="0.25">
      <c r="A94" s="484" t="s">
        <v>1415</v>
      </c>
      <c r="B94" s="454" t="str">
        <f t="shared" si="12"/>
        <v xml:space="preserve">Tanque de reserva (5000 litros) </v>
      </c>
      <c r="C94" s="455" t="str">
        <f t="shared" si="13"/>
        <v>gl</v>
      </c>
      <c r="D94" s="485">
        <v>7.4075000000000002E-2</v>
      </c>
      <c r="E94" s="487">
        <f t="shared" si="14"/>
        <v>0</v>
      </c>
      <c r="F94" s="487">
        <f t="shared" si="15"/>
        <v>0</v>
      </c>
    </row>
    <row r="95" spans="1:6" ht="20.100000000000001" customHeight="1" x14ac:dyDescent="0.25">
      <c r="A95" s="484">
        <v>17</v>
      </c>
      <c r="B95" s="454" t="str">
        <f t="shared" si="12"/>
        <v>INSTALACIÓN CONTRA INCENDIO TOTAL</v>
      </c>
      <c r="C95" s="455">
        <f t="shared" si="13"/>
        <v>0</v>
      </c>
      <c r="D95" s="485"/>
      <c r="E95" s="487">
        <f t="shared" si="14"/>
        <v>0</v>
      </c>
      <c r="F95" s="487">
        <f t="shared" si="15"/>
        <v>0</v>
      </c>
    </row>
    <row r="96" spans="1:6" ht="20.100000000000001" customHeight="1" x14ac:dyDescent="0.25">
      <c r="A96" s="484" t="s">
        <v>1416</v>
      </c>
      <c r="B96" s="454" t="str">
        <f t="shared" si="12"/>
        <v>Tanque de reserva   PRFV 5000 LTS</v>
      </c>
      <c r="C96" s="455" t="str">
        <f t="shared" si="13"/>
        <v>u</v>
      </c>
      <c r="D96" s="485">
        <v>6.7960999999999994E-2</v>
      </c>
      <c r="E96" s="487">
        <f t="shared" si="14"/>
        <v>0</v>
      </c>
      <c r="F96" s="487">
        <f t="shared" si="15"/>
        <v>0</v>
      </c>
    </row>
    <row r="97" spans="1:6" ht="20.100000000000001" customHeight="1" x14ac:dyDescent="0.25">
      <c r="A97" s="484" t="s">
        <v>1417</v>
      </c>
      <c r="B97" s="454" t="str">
        <f t="shared" si="12"/>
        <v xml:space="preserve">Bomba de 15 hp </v>
      </c>
      <c r="C97" s="455" t="str">
        <f t="shared" si="13"/>
        <v>u</v>
      </c>
      <c r="D97" s="485">
        <v>3.8835000000000001E-2</v>
      </c>
      <c r="E97" s="487">
        <f t="shared" si="14"/>
        <v>0</v>
      </c>
      <c r="F97" s="487">
        <f t="shared" si="15"/>
        <v>0</v>
      </c>
    </row>
    <row r="98" spans="1:6" ht="20.100000000000001" customHeight="1" x14ac:dyDescent="0.25">
      <c r="A98" s="484" t="s">
        <v>1418</v>
      </c>
      <c r="B98" s="454" t="str">
        <f t="shared" si="12"/>
        <v>Extintores ABC 5 kg</v>
      </c>
      <c r="C98" s="455" t="str">
        <f t="shared" si="13"/>
        <v>u</v>
      </c>
      <c r="D98" s="485">
        <v>0.58252400000000004</v>
      </c>
      <c r="E98" s="487">
        <f t="shared" si="14"/>
        <v>0</v>
      </c>
      <c r="F98" s="487">
        <f t="shared" si="15"/>
        <v>0</v>
      </c>
    </row>
    <row r="99" spans="1:6" ht="20.100000000000001" customHeight="1" x14ac:dyDescent="0.25">
      <c r="A99" s="484" t="s">
        <v>1419</v>
      </c>
      <c r="B99" s="454" t="str">
        <f t="shared" si="12"/>
        <v>Hidrantes con caja lanza y martillo</v>
      </c>
      <c r="C99" s="455" t="str">
        <f t="shared" si="13"/>
        <v>u</v>
      </c>
      <c r="D99" s="485">
        <v>0.37036999999999998</v>
      </c>
      <c r="E99" s="487">
        <f t="shared" si="14"/>
        <v>0</v>
      </c>
      <c r="F99" s="487">
        <f t="shared" si="15"/>
        <v>0</v>
      </c>
    </row>
    <row r="100" spans="1:6" ht="20.100000000000001" customHeight="1" x14ac:dyDescent="0.25">
      <c r="A100" s="484" t="s">
        <v>1420</v>
      </c>
      <c r="B100" s="454" t="str">
        <f t="shared" si="12"/>
        <v>Manguera para incendio diametro 38,long 25 metros</v>
      </c>
      <c r="C100" s="455" t="str">
        <f t="shared" si="13"/>
        <v>u</v>
      </c>
      <c r="D100" s="485">
        <v>0.37036999999999998</v>
      </c>
      <c r="E100" s="487">
        <f t="shared" si="14"/>
        <v>0</v>
      </c>
      <c r="F100" s="487">
        <f t="shared" si="15"/>
        <v>0</v>
      </c>
    </row>
    <row r="101" spans="1:6" ht="20.100000000000001" customHeight="1" x14ac:dyDescent="0.25">
      <c r="A101" s="484" t="s">
        <v>1421</v>
      </c>
      <c r="B101" s="454" t="str">
        <f t="shared" si="12"/>
        <v xml:space="preserve">Bomba Joker </v>
      </c>
      <c r="C101" s="455" t="str">
        <f t="shared" si="13"/>
        <v>u</v>
      </c>
      <c r="D101" s="485">
        <v>1.8518E-2</v>
      </c>
      <c r="E101" s="487">
        <f t="shared" si="14"/>
        <v>0</v>
      </c>
      <c r="F101" s="487">
        <f t="shared" si="15"/>
        <v>0</v>
      </c>
    </row>
    <row r="102" spans="1:6" ht="20.100000000000001" customHeight="1" x14ac:dyDescent="0.25">
      <c r="A102" s="484" t="s">
        <v>1422</v>
      </c>
      <c r="B102" s="454" t="str">
        <f t="shared" si="12"/>
        <v>Luces de Emergencia</v>
      </c>
      <c r="C102" s="455" t="str">
        <f t="shared" si="13"/>
        <v>u</v>
      </c>
      <c r="D102" s="485">
        <v>0.77776999999999996</v>
      </c>
      <c r="E102" s="487">
        <f t="shared" si="14"/>
        <v>0</v>
      </c>
      <c r="F102" s="487">
        <f t="shared" si="15"/>
        <v>0</v>
      </c>
    </row>
    <row r="103" spans="1:6" ht="20.100000000000001" customHeight="1" x14ac:dyDescent="0.25">
      <c r="A103" s="484" t="s">
        <v>1423</v>
      </c>
      <c r="B103" s="454" t="str">
        <f t="shared" ref="B103:B115" si="16">IFERROR(VLOOKUP(A103,Tabla_Datos,2,FALSE),0)</f>
        <v>Cañeria HG 75 mm</v>
      </c>
      <c r="C103" s="455" t="str">
        <f t="shared" ref="C103:C115" si="17">IFERROR(VLOOKUP(A103,Tabla_Datos,3,FALSE),0)</f>
        <v>ml</v>
      </c>
      <c r="D103" s="485">
        <v>1.074074</v>
      </c>
      <c r="E103" s="487">
        <f t="shared" ref="E103:E115" si="18">IFERROR(VLOOKUP(A103,Tabla_Comp_Presup,7,FALSE),0)</f>
        <v>0</v>
      </c>
      <c r="F103" s="487">
        <f t="shared" ref="F103:F115" si="19">ROUND(D103*E103,15)</f>
        <v>0</v>
      </c>
    </row>
    <row r="104" spans="1:6" ht="20.100000000000001" customHeight="1" x14ac:dyDescent="0.25">
      <c r="A104" s="484" t="s">
        <v>1424</v>
      </c>
      <c r="B104" s="454" t="str">
        <f t="shared" si="16"/>
        <v>Cañeria HG 63 mm</v>
      </c>
      <c r="C104" s="455" t="str">
        <f t="shared" si="17"/>
        <v>ml</v>
      </c>
      <c r="D104" s="485">
        <v>1.1296295999999999</v>
      </c>
      <c r="E104" s="487">
        <f t="shared" si="18"/>
        <v>0</v>
      </c>
      <c r="F104" s="487">
        <f t="shared" si="19"/>
        <v>0</v>
      </c>
    </row>
    <row r="105" spans="1:6" ht="20.100000000000001" customHeight="1" x14ac:dyDescent="0.25">
      <c r="A105" s="484" t="s">
        <v>1425</v>
      </c>
      <c r="B105" s="454" t="str">
        <f t="shared" si="16"/>
        <v>Cañeria HG 50 mm</v>
      </c>
      <c r="C105" s="455" t="str">
        <f t="shared" si="17"/>
        <v>ml</v>
      </c>
      <c r="D105" s="485">
        <v>1.2592589999999999</v>
      </c>
      <c r="E105" s="487">
        <f t="shared" si="18"/>
        <v>0</v>
      </c>
      <c r="F105" s="487">
        <f t="shared" si="19"/>
        <v>0</v>
      </c>
    </row>
    <row r="106" spans="1:6" ht="20.100000000000001" customHeight="1" x14ac:dyDescent="0.25">
      <c r="A106" s="484" t="s">
        <v>1426</v>
      </c>
      <c r="B106" s="454" t="str">
        <f t="shared" si="16"/>
        <v>Valvulas Esclusas de bronce dim 45</v>
      </c>
      <c r="C106" s="455" t="str">
        <f t="shared" si="17"/>
        <v>u</v>
      </c>
      <c r="D106" s="485">
        <v>0.18518499999999999</v>
      </c>
      <c r="E106" s="487">
        <f t="shared" si="18"/>
        <v>0</v>
      </c>
      <c r="F106" s="487">
        <f t="shared" si="19"/>
        <v>0</v>
      </c>
    </row>
    <row r="107" spans="1:6" ht="20.100000000000001" customHeight="1" x14ac:dyDescent="0.25">
      <c r="A107" s="484" t="s">
        <v>1427</v>
      </c>
      <c r="B107" s="454" t="str">
        <f t="shared" si="16"/>
        <v>Valvulas Esclusas de bronce dim 38</v>
      </c>
      <c r="C107" s="455" t="str">
        <f t="shared" si="17"/>
        <v>u</v>
      </c>
      <c r="D107" s="485">
        <v>0.18518499999999999</v>
      </c>
      <c r="E107" s="487">
        <f t="shared" si="18"/>
        <v>0</v>
      </c>
      <c r="F107" s="487">
        <f t="shared" si="19"/>
        <v>0</v>
      </c>
    </row>
    <row r="108" spans="1:6" ht="20.100000000000001" customHeight="1" x14ac:dyDescent="0.25">
      <c r="A108" s="484" t="s">
        <v>1428</v>
      </c>
      <c r="B108" s="454" t="str">
        <f t="shared" si="16"/>
        <v>Caja de Impulsion con llave esferica de 2" (60x40)</v>
      </c>
      <c r="C108" s="455" t="str">
        <f t="shared" si="17"/>
        <v>u</v>
      </c>
      <c r="D108" s="485">
        <v>0</v>
      </c>
      <c r="E108" s="487">
        <f t="shared" si="18"/>
        <v>0</v>
      </c>
      <c r="F108" s="487">
        <f t="shared" si="19"/>
        <v>0</v>
      </c>
    </row>
    <row r="109" spans="1:6" ht="20.100000000000001" customHeight="1" x14ac:dyDescent="0.25">
      <c r="A109" s="484" t="s">
        <v>1429</v>
      </c>
      <c r="B109" s="454" t="str">
        <f t="shared" si="16"/>
        <v>Tambor con arena de 200 lts</v>
      </c>
      <c r="C109" s="455" t="str">
        <f t="shared" si="17"/>
        <v>u</v>
      </c>
      <c r="D109" s="485">
        <v>3.703E-2</v>
      </c>
      <c r="E109" s="487">
        <f t="shared" si="18"/>
        <v>0</v>
      </c>
      <c r="F109" s="487">
        <f t="shared" si="19"/>
        <v>0</v>
      </c>
    </row>
    <row r="110" spans="1:6" ht="20.100000000000001" customHeight="1" x14ac:dyDescent="0.25">
      <c r="A110" s="484">
        <v>18</v>
      </c>
      <c r="B110" s="454" t="str">
        <f t="shared" si="16"/>
        <v>INSTALACION ELECTROMECANICA</v>
      </c>
      <c r="C110" s="455">
        <f t="shared" si="17"/>
        <v>0</v>
      </c>
      <c r="D110" s="485"/>
      <c r="E110" s="487">
        <f t="shared" si="18"/>
        <v>0</v>
      </c>
      <c r="F110" s="487">
        <f t="shared" si="19"/>
        <v>0</v>
      </c>
    </row>
    <row r="111" spans="1:6" ht="20.100000000000001" customHeight="1" x14ac:dyDescent="0.25">
      <c r="A111" s="484" t="s">
        <v>1430</v>
      </c>
      <c r="B111" s="454" t="str">
        <f t="shared" si="16"/>
        <v>Instalación electromagnética</v>
      </c>
      <c r="C111" s="455" t="str">
        <f t="shared" si="17"/>
        <v>gl</v>
      </c>
      <c r="D111" s="485">
        <v>1.8518E-2</v>
      </c>
      <c r="E111" s="487">
        <f t="shared" si="18"/>
        <v>0</v>
      </c>
      <c r="F111" s="487">
        <f t="shared" si="19"/>
        <v>0</v>
      </c>
    </row>
    <row r="112" spans="1:6" ht="20.100000000000001" customHeight="1" x14ac:dyDescent="0.25">
      <c r="A112" s="484" t="s">
        <v>1431</v>
      </c>
      <c r="B112" s="454" t="str">
        <f t="shared" si="16"/>
        <v>Ascensor Electromagnetico Cap.450 kg Ancho 1100 x 1300 cm (Torre 9 niveles)</v>
      </c>
      <c r="C112" s="455" t="str">
        <f t="shared" si="17"/>
        <v>u</v>
      </c>
      <c r="D112" s="485">
        <v>1.8518E-2</v>
      </c>
      <c r="E112" s="487">
        <f t="shared" si="18"/>
        <v>0</v>
      </c>
      <c r="F112" s="487">
        <f t="shared" si="19"/>
        <v>0</v>
      </c>
    </row>
    <row r="113" spans="1:6" ht="20.100000000000001" customHeight="1" x14ac:dyDescent="0.25">
      <c r="A113" s="484" t="s">
        <v>1521</v>
      </c>
      <c r="B113" s="454" t="str">
        <f t="shared" ref="B113" si="20">IFERROR(VLOOKUP(A113,Tabla_Datos,2,FALSE),0)</f>
        <v>Ascensor Electromagnetico Cap.450 kg Ancho 1100 x 1300 cm  (Ala 5 niveles)</v>
      </c>
      <c r="C113" s="455" t="str">
        <f t="shared" ref="C113" si="21">IFERROR(VLOOKUP(A113,Tabla_Datos,3,FALSE),0)</f>
        <v>u</v>
      </c>
      <c r="D113" s="485">
        <v>0</v>
      </c>
      <c r="E113" s="487">
        <f t="shared" ref="E113" si="22">IFERROR(VLOOKUP(A113,Tabla_Comp_Presup,7,FALSE),0)</f>
        <v>0</v>
      </c>
      <c r="F113" s="487">
        <f t="shared" ref="F113" si="23">ROUND(D113*E113,15)</f>
        <v>0</v>
      </c>
    </row>
    <row r="114" spans="1:6" ht="20.100000000000001" customHeight="1" x14ac:dyDescent="0.25">
      <c r="A114" s="484">
        <v>19</v>
      </c>
      <c r="B114" s="454" t="str">
        <f t="shared" si="16"/>
        <v>CONDUCTOS Y VENTILACIONES</v>
      </c>
      <c r="C114" s="455">
        <f t="shared" si="17"/>
        <v>0</v>
      </c>
      <c r="D114" s="485"/>
      <c r="E114" s="487">
        <f t="shared" si="18"/>
        <v>0</v>
      </c>
      <c r="F114" s="487">
        <f t="shared" si="19"/>
        <v>0</v>
      </c>
    </row>
    <row r="115" spans="1:6" ht="20.100000000000001" customHeight="1" x14ac:dyDescent="0.25">
      <c r="A115" s="484" t="s">
        <v>1432</v>
      </c>
      <c r="B115" s="454" t="str">
        <f t="shared" si="16"/>
        <v>Rejilla ventilación baños</v>
      </c>
      <c r="C115" s="455" t="str">
        <f t="shared" si="17"/>
        <v>u</v>
      </c>
      <c r="D115" s="485">
        <v>0</v>
      </c>
      <c r="E115" s="487">
        <f t="shared" si="18"/>
        <v>0</v>
      </c>
      <c r="F115" s="487">
        <f t="shared" si="19"/>
        <v>0</v>
      </c>
    </row>
    <row r="116" spans="1:6" ht="20.100000000000001" customHeight="1" x14ac:dyDescent="0.25">
      <c r="A116" s="193"/>
      <c r="B116" s="194"/>
      <c r="C116" s="195"/>
      <c r="D116" s="196"/>
      <c r="E116" s="197"/>
      <c r="F116" s="197"/>
    </row>
    <row r="117" spans="1:6" ht="20.100000000000001" customHeight="1" x14ac:dyDescent="0.25">
      <c r="A117" s="459" t="s">
        <v>1106</v>
      </c>
      <c r="B117" s="460" t="s">
        <v>1162</v>
      </c>
      <c r="C117" s="461"/>
      <c r="D117" s="462"/>
      <c r="E117" s="463"/>
      <c r="F117" s="464">
        <f>ROUND(F126/Coef_Paso_Vivienda,2)</f>
        <v>0</v>
      </c>
    </row>
    <row r="118" spans="1:6" ht="20.100000000000001" customHeight="1" x14ac:dyDescent="0.25">
      <c r="A118" s="465" t="s">
        <v>1107</v>
      </c>
      <c r="B118" s="466" t="str">
        <f>"COSTO FINANCIERO  "&amp;ROUND(Costo_Financiero*100,2)&amp;" % de ( 1 )"</f>
        <v>COSTO FINANCIERO  0 % de ( 1 )</v>
      </c>
      <c r="C118" s="467">
        <f>Costo_Financiero</f>
        <v>0</v>
      </c>
      <c r="D118" s="468"/>
      <c r="E118" s="469">
        <f>Costo_Financiero</f>
        <v>0</v>
      </c>
      <c r="F118" s="470">
        <f>ROUND(F117*Costo_Financiero,2)</f>
        <v>0</v>
      </c>
    </row>
    <row r="119" spans="1:6" ht="20.100000000000001" customHeight="1" x14ac:dyDescent="0.25">
      <c r="A119" s="465" t="s">
        <v>1108</v>
      </c>
      <c r="B119" s="466" t="s">
        <v>1158</v>
      </c>
      <c r="C119" s="467"/>
      <c r="D119" s="468"/>
      <c r="E119" s="471"/>
      <c r="F119" s="470">
        <f>F117+F118</f>
        <v>0</v>
      </c>
    </row>
    <row r="120" spans="1:6" ht="20.100000000000001" customHeight="1" x14ac:dyDescent="0.25">
      <c r="A120" s="465" t="s">
        <v>1109</v>
      </c>
      <c r="B120" s="472" t="str">
        <f>CONCATENATE("GASTOS GENERALES  ",ROUND(Gastos_Generales*100,3)," % de ( 3 )")</f>
        <v>GASTOS GENERALES  10 % de ( 3 )</v>
      </c>
      <c r="C120" s="469">
        <f>Gastos_Generales</f>
        <v>0.1</v>
      </c>
      <c r="D120" s="473"/>
      <c r="E120" s="471"/>
      <c r="F120" s="470">
        <f>ROUND(F119*Gastos_Generales,2)</f>
        <v>0</v>
      </c>
    </row>
    <row r="121" spans="1:6" ht="20.100000000000001" customHeight="1" x14ac:dyDescent="0.25">
      <c r="A121" s="465" t="s">
        <v>1110</v>
      </c>
      <c r="B121" s="472" t="str">
        <f>CONCATENATE("BENEFICIOS  ",ROUND(Beneficio*100,2)," % de ( 3 )")</f>
        <v>BENEFICIOS  10 % de ( 3 )</v>
      </c>
      <c r="C121" s="469">
        <f>Beneficio</f>
        <v>0.1</v>
      </c>
      <c r="D121" s="473"/>
      <c r="E121" s="471"/>
      <c r="F121" s="470">
        <f>ROUND(F119*Beneficio,2)</f>
        <v>0</v>
      </c>
    </row>
    <row r="122" spans="1:6" ht="20.100000000000001" customHeight="1" x14ac:dyDescent="0.25">
      <c r="A122" s="465">
        <v>6</v>
      </c>
      <c r="B122" s="466" t="s">
        <v>1159</v>
      </c>
      <c r="C122" s="471"/>
      <c r="D122" s="473"/>
      <c r="E122" s="471"/>
      <c r="F122" s="470">
        <f>F119+F120+F121</f>
        <v>0</v>
      </c>
    </row>
    <row r="123" spans="1:6" ht="20.100000000000001" customHeight="1" x14ac:dyDescent="0.25">
      <c r="A123" s="465" t="s">
        <v>1160</v>
      </c>
      <c r="B123" s="472" t="str">
        <f>CONCATENATE("INGRESOS BRUTOS Y LOTE HOGAR  ",ROUND(Ingresos_Brutos*100,2)," % de ( 6 )")</f>
        <v>INGRESOS BRUTOS Y LOTE HOGAR  2,4 % de ( 6 )</v>
      </c>
      <c r="C123" s="469">
        <f>Ingresos_Brutos</f>
        <v>2.4E-2</v>
      </c>
      <c r="D123" s="473"/>
      <c r="E123" s="471"/>
      <c r="F123" s="470">
        <f>IF(Ingresos_Brutos=0,,ROUND(Ingresos_Brutos*F122,2))</f>
        <v>0</v>
      </c>
    </row>
    <row r="124" spans="1:6" ht="20.100000000000001" customHeight="1" x14ac:dyDescent="0.25">
      <c r="A124" s="474" t="s">
        <v>1161</v>
      </c>
      <c r="B124" s="475" t="str">
        <f>CONCATENATE("IMPUESTO AL VALOR AGREGADO ",IVA_Vivienda*100," % de ( 6 )")</f>
        <v>IMPUESTO AL VALOR AGREGADO 0,000000000001 % de ( 6 )</v>
      </c>
      <c r="C124" s="476">
        <f>IVA_Vivienda</f>
        <v>1E-14</v>
      </c>
      <c r="D124" s="477"/>
      <c r="E124" s="478"/>
      <c r="F124" s="479">
        <f>IF(IVA_Vivienda=0,,ROUND(IVA_Vivienda*F122,2))</f>
        <v>0</v>
      </c>
    </row>
    <row r="125" spans="1:6" ht="20.100000000000001" customHeight="1" x14ac:dyDescent="0.25">
      <c r="A125" s="88"/>
      <c r="B125" s="83"/>
      <c r="C125" s="83"/>
      <c r="D125" s="84"/>
      <c r="E125" s="85"/>
      <c r="F125" s="2"/>
    </row>
    <row r="126" spans="1:6" ht="20.100000000000001" customHeight="1" x14ac:dyDescent="0.25">
      <c r="A126" s="480"/>
      <c r="B126" s="481" t="str">
        <f>"PRECIO TOTAL VIVENDA"</f>
        <v>PRECIO TOTAL VIVENDA</v>
      </c>
      <c r="C126" s="481"/>
      <c r="D126" s="482"/>
      <c r="E126" s="480"/>
      <c r="F126" s="483">
        <f>SUM(F11:F115)</f>
        <v>0</v>
      </c>
    </row>
  </sheetData>
  <mergeCells count="7">
    <mergeCell ref="A1:F1"/>
    <mergeCell ref="A7:A8"/>
    <mergeCell ref="B7:B8"/>
    <mergeCell ref="C7:C8"/>
    <mergeCell ref="D7:D8"/>
    <mergeCell ref="E7:E8"/>
    <mergeCell ref="F7:F8"/>
  </mergeCells>
  <phoneticPr fontId="10" type="noConversion"/>
  <conditionalFormatting sqref="A11:A30 B10:B30 A31:B116">
    <cfRule type="expression" dxfId="144" priority="6" stopIfTrue="1">
      <formula>$C10=0</formula>
    </cfRule>
  </conditionalFormatting>
  <conditionalFormatting sqref="A10">
    <cfRule type="expression" dxfId="143" priority="5" stopIfTrue="1">
      <formula>$C10=0</formula>
    </cfRule>
  </conditionalFormatting>
  <conditionalFormatting sqref="F117">
    <cfRule type="expression" dxfId="142" priority="4" stopIfTrue="1">
      <formula>#REF!=1</formula>
    </cfRule>
  </conditionalFormatting>
  <conditionalFormatting sqref="A11:A19">
    <cfRule type="expression" dxfId="141" priority="3" stopIfTrue="1">
      <formula>$C11=0</formula>
    </cfRule>
  </conditionalFormatting>
  <conditionalFormatting sqref="A11:A19">
    <cfRule type="expression" dxfId="140" priority="2" stopIfTrue="1">
      <formula>$C11=0</formula>
    </cfRule>
  </conditionalFormatting>
  <conditionalFormatting sqref="A11:A19">
    <cfRule type="expression" dxfId="139" priority="1" stopIfTrue="1">
      <formula>$C11=0</formula>
    </cfRule>
  </conditionalFormatting>
  <pageMargins left="0.39370078740157483" right="0.39370078740157483" top="0.74803149606299213" bottom="0.74803149606299213" header="0.31496062992125984" footer="0.31496062992125984"/>
  <pageSetup paperSize="9" scale="5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workbookViewId="0">
      <selection sqref="A1:F1"/>
    </sheetView>
  </sheetViews>
  <sheetFormatPr baseColWidth="10" defaultRowHeight="13.2" x14ac:dyDescent="0.25"/>
  <cols>
    <col min="1" max="1" width="18.6640625" customWidth="1"/>
    <col min="2" max="2" width="79.6640625" customWidth="1"/>
    <col min="3" max="3" width="19.88671875" customWidth="1"/>
    <col min="4" max="4" width="13.88671875" customWidth="1"/>
    <col min="5" max="5" width="22" customWidth="1"/>
    <col min="6" max="6" width="20.6640625" customWidth="1"/>
    <col min="8" max="8" width="56.33203125" customWidth="1"/>
  </cols>
  <sheetData>
    <row r="1" spans="1:10" ht="20.100000000000001" customHeight="1" x14ac:dyDescent="0.25">
      <c r="A1" s="587" t="s">
        <v>1250</v>
      </c>
      <c r="B1" s="587"/>
      <c r="C1" s="587"/>
      <c r="D1" s="587"/>
      <c r="E1" s="587"/>
      <c r="F1" s="587"/>
    </row>
    <row r="2" spans="1:10" ht="20.100000000000001" customHeight="1" x14ac:dyDescent="0.25">
      <c r="A2" s="94" t="s">
        <v>1230</v>
      </c>
      <c r="B2" s="93" t="str">
        <f>Obra</f>
        <v>LA NAVE - 103 DEPARTAMENTOS - CAPITAL</v>
      </c>
      <c r="C2" s="150"/>
      <c r="D2" s="95"/>
      <c r="E2" s="95"/>
      <c r="F2" s="95"/>
    </row>
    <row r="3" spans="1:10" ht="20.100000000000001" customHeight="1" x14ac:dyDescent="0.25">
      <c r="A3" s="94" t="s">
        <v>1231</v>
      </c>
      <c r="B3" s="93" t="str">
        <f>Ubicación</f>
        <v>CAPITAL</v>
      </c>
      <c r="C3" s="95"/>
      <c r="D3" s="95"/>
      <c r="E3" s="95"/>
      <c r="F3" s="95"/>
    </row>
    <row r="4" spans="1:10" ht="20.100000000000001" customHeight="1" x14ac:dyDescent="0.25">
      <c r="A4" s="94" t="s">
        <v>1127</v>
      </c>
      <c r="B4" s="98" t="s">
        <v>1249</v>
      </c>
      <c r="C4" s="94"/>
      <c r="D4" s="95"/>
      <c r="E4" s="95"/>
      <c r="F4" s="95"/>
    </row>
    <row r="5" spans="1:10" ht="20.100000000000001" customHeight="1" x14ac:dyDescent="0.25">
      <c r="A5" s="94" t="s">
        <v>1156</v>
      </c>
      <c r="B5" s="131"/>
      <c r="C5" s="94"/>
      <c r="D5" s="95"/>
      <c r="E5" s="95"/>
      <c r="F5" s="95"/>
    </row>
    <row r="6" spans="1:10" ht="20.100000000000001" customHeight="1" x14ac:dyDescent="0.25">
      <c r="A6" s="132"/>
      <c r="B6" s="135"/>
      <c r="C6" s="132"/>
      <c r="D6" s="132"/>
      <c r="E6" s="132"/>
      <c r="F6" s="132"/>
    </row>
    <row r="7" spans="1:10" ht="20.100000000000001" customHeight="1" x14ac:dyDescent="0.25">
      <c r="A7" s="588" t="s">
        <v>1105</v>
      </c>
      <c r="B7" s="590" t="s">
        <v>0</v>
      </c>
      <c r="C7" s="588" t="s">
        <v>1</v>
      </c>
      <c r="D7" s="588" t="s">
        <v>2</v>
      </c>
      <c r="E7" s="588" t="s">
        <v>1148</v>
      </c>
      <c r="F7" s="588" t="s">
        <v>1157</v>
      </c>
    </row>
    <row r="8" spans="1:10" ht="20.100000000000001" customHeight="1" x14ac:dyDescent="0.25">
      <c r="A8" s="589"/>
      <c r="B8" s="591"/>
      <c r="C8" s="589"/>
      <c r="D8" s="589"/>
      <c r="E8" s="589"/>
      <c r="F8" s="589"/>
    </row>
    <row r="9" spans="1:10" ht="20.100000000000001" customHeight="1" x14ac:dyDescent="0.25">
      <c r="A9" s="198"/>
      <c r="B9" s="136"/>
      <c r="C9" s="140"/>
      <c r="D9" s="140"/>
      <c r="E9" s="200"/>
      <c r="F9" s="201"/>
    </row>
    <row r="10" spans="1:10" ht="20.100000000000001" customHeight="1" x14ac:dyDescent="0.25">
      <c r="A10" s="223" t="s">
        <v>1124</v>
      </c>
      <c r="B10" s="224" t="str">
        <f t="shared" ref="B10:B43" si="0">IFERROR(VLOOKUP(A10,Tabla_Datos,2,FALSE),0)</f>
        <v>DEPARTAMENTOS</v>
      </c>
      <c r="C10" s="225"/>
      <c r="D10" s="226"/>
      <c r="E10" s="227"/>
      <c r="F10" s="227"/>
    </row>
    <row r="11" spans="1:10" ht="20.100000000000001" customHeight="1" x14ac:dyDescent="0.25">
      <c r="A11" s="220"/>
      <c r="B11" s="221">
        <f t="shared" si="0"/>
        <v>0</v>
      </c>
      <c r="C11" s="222">
        <f t="shared" ref="C11:C43" si="1">IFERROR(VLOOKUP(A11,Tabla_Datos,3,FALSE),0)</f>
        <v>0</v>
      </c>
      <c r="D11" s="228"/>
      <c r="E11" s="229">
        <f t="shared" ref="E11:E43" si="2">IFERROR(VLOOKUP(A11,Tabla_Comp_Presup,7,FALSE),0)</f>
        <v>0</v>
      </c>
      <c r="F11" s="229">
        <f t="shared" ref="F11:F43" si="3">ROUND(D11*E11,15)</f>
        <v>0</v>
      </c>
      <c r="J11">
        <v>2.8</v>
      </c>
    </row>
    <row r="12" spans="1:10" ht="20.100000000000001" customHeight="1" x14ac:dyDescent="0.25">
      <c r="A12" s="220"/>
      <c r="B12" s="221">
        <f t="shared" si="0"/>
        <v>0</v>
      </c>
      <c r="C12" s="222">
        <f t="shared" si="1"/>
        <v>0</v>
      </c>
      <c r="D12" s="228"/>
      <c r="E12" s="229">
        <f t="shared" si="2"/>
        <v>0</v>
      </c>
      <c r="F12" s="229">
        <f t="shared" si="3"/>
        <v>0</v>
      </c>
      <c r="J12">
        <v>0.43</v>
      </c>
    </row>
    <row r="13" spans="1:10" ht="20.100000000000001" customHeight="1" x14ac:dyDescent="0.25">
      <c r="A13" s="220"/>
      <c r="B13" s="221">
        <f t="shared" si="0"/>
        <v>0</v>
      </c>
      <c r="C13" s="222">
        <f t="shared" si="1"/>
        <v>0</v>
      </c>
      <c r="D13" s="228"/>
      <c r="E13" s="229">
        <f t="shared" si="2"/>
        <v>0</v>
      </c>
      <c r="F13" s="229">
        <f t="shared" si="3"/>
        <v>0</v>
      </c>
      <c r="J13">
        <v>2.98</v>
      </c>
    </row>
    <row r="14" spans="1:10" ht="20.100000000000001" customHeight="1" x14ac:dyDescent="0.25">
      <c r="A14" s="220"/>
      <c r="B14" s="221">
        <f t="shared" si="0"/>
        <v>0</v>
      </c>
      <c r="C14" s="222">
        <f t="shared" si="1"/>
        <v>0</v>
      </c>
      <c r="D14" s="228"/>
      <c r="E14" s="229">
        <f t="shared" si="2"/>
        <v>0</v>
      </c>
      <c r="F14" s="229">
        <f t="shared" si="3"/>
        <v>0</v>
      </c>
      <c r="J14">
        <v>11.84</v>
      </c>
    </row>
    <row r="15" spans="1:10" ht="20.100000000000001" customHeight="1" x14ac:dyDescent="0.25">
      <c r="A15" s="220"/>
      <c r="B15" s="221">
        <f t="shared" si="0"/>
        <v>0</v>
      </c>
      <c r="C15" s="222">
        <f t="shared" si="1"/>
        <v>0</v>
      </c>
      <c r="D15" s="228"/>
      <c r="E15" s="229">
        <f t="shared" si="2"/>
        <v>0</v>
      </c>
      <c r="F15" s="229">
        <f t="shared" si="3"/>
        <v>0</v>
      </c>
      <c r="J15">
        <v>1</v>
      </c>
    </row>
    <row r="16" spans="1:10" ht="20.100000000000001" customHeight="1" x14ac:dyDescent="0.25">
      <c r="A16" s="220"/>
      <c r="B16" s="221">
        <f t="shared" si="0"/>
        <v>0</v>
      </c>
      <c r="C16" s="222">
        <f t="shared" si="1"/>
        <v>0</v>
      </c>
      <c r="D16" s="228"/>
      <c r="E16" s="229">
        <f t="shared" si="2"/>
        <v>0</v>
      </c>
      <c r="F16" s="229">
        <f t="shared" si="3"/>
        <v>0</v>
      </c>
      <c r="J16">
        <v>110.2</v>
      </c>
    </row>
    <row r="17" spans="1:10" ht="20.100000000000001" customHeight="1" x14ac:dyDescent="0.25">
      <c r="A17" s="220"/>
      <c r="B17" s="221">
        <f t="shared" si="0"/>
        <v>0</v>
      </c>
      <c r="C17" s="222">
        <f t="shared" si="1"/>
        <v>0</v>
      </c>
      <c r="D17" s="228"/>
      <c r="E17" s="229">
        <f t="shared" si="2"/>
        <v>0</v>
      </c>
      <c r="F17" s="229">
        <f>ROUND(D17*E17,15)</f>
        <v>0</v>
      </c>
      <c r="J17">
        <v>8.07</v>
      </c>
    </row>
    <row r="18" spans="1:10" ht="20.100000000000001" customHeight="1" x14ac:dyDescent="0.25">
      <c r="A18" s="220"/>
      <c r="B18" s="221">
        <f t="shared" si="0"/>
        <v>0</v>
      </c>
      <c r="C18" s="222">
        <f t="shared" si="1"/>
        <v>0</v>
      </c>
      <c r="D18" s="228"/>
      <c r="E18" s="229">
        <f t="shared" si="2"/>
        <v>0</v>
      </c>
      <c r="F18" s="229">
        <f>ROUND(D18*E18,15)</f>
        <v>0</v>
      </c>
    </row>
    <row r="19" spans="1:10" ht="20.100000000000001" customHeight="1" x14ac:dyDescent="0.25">
      <c r="A19" s="220"/>
      <c r="B19" s="221">
        <f t="shared" si="0"/>
        <v>0</v>
      </c>
      <c r="C19" s="222">
        <f t="shared" si="1"/>
        <v>0</v>
      </c>
      <c r="D19" s="228"/>
      <c r="E19" s="229">
        <f t="shared" si="2"/>
        <v>0</v>
      </c>
      <c r="F19" s="229">
        <f t="shared" si="3"/>
        <v>0</v>
      </c>
    </row>
    <row r="20" spans="1:10" ht="20.100000000000001" customHeight="1" x14ac:dyDescent="0.25">
      <c r="A20" s="220"/>
      <c r="B20" s="221">
        <f t="shared" si="0"/>
        <v>0</v>
      </c>
      <c r="C20" s="222">
        <f t="shared" si="1"/>
        <v>0</v>
      </c>
      <c r="D20" s="228"/>
      <c r="E20" s="229">
        <f t="shared" si="2"/>
        <v>0</v>
      </c>
      <c r="F20" s="229">
        <f t="shared" si="3"/>
        <v>0</v>
      </c>
      <c r="J20">
        <v>90.86</v>
      </c>
    </row>
    <row r="21" spans="1:10" ht="20.100000000000001" customHeight="1" x14ac:dyDescent="0.25">
      <c r="A21" s="220"/>
      <c r="B21" s="221">
        <f t="shared" si="0"/>
        <v>0</v>
      </c>
      <c r="C21" s="222">
        <f t="shared" si="1"/>
        <v>0</v>
      </c>
      <c r="D21" s="228"/>
      <c r="E21" s="229">
        <f t="shared" si="2"/>
        <v>0</v>
      </c>
      <c r="F21" s="229">
        <f t="shared" si="3"/>
        <v>0</v>
      </c>
      <c r="J21">
        <v>100.69</v>
      </c>
    </row>
    <row r="22" spans="1:10" ht="20.100000000000001" customHeight="1" x14ac:dyDescent="0.25">
      <c r="A22" s="220"/>
      <c r="B22" s="221">
        <f t="shared" si="0"/>
        <v>0</v>
      </c>
      <c r="C22" s="222">
        <f t="shared" si="1"/>
        <v>0</v>
      </c>
      <c r="D22" s="228"/>
      <c r="E22" s="229">
        <f t="shared" si="2"/>
        <v>0</v>
      </c>
      <c r="F22" s="229">
        <f t="shared" si="3"/>
        <v>0</v>
      </c>
      <c r="J22">
        <v>100.69</v>
      </c>
    </row>
    <row r="23" spans="1:10" ht="20.100000000000001" customHeight="1" x14ac:dyDescent="0.25">
      <c r="A23" s="220"/>
      <c r="B23" s="221">
        <f t="shared" si="0"/>
        <v>0</v>
      </c>
      <c r="C23" s="222">
        <f t="shared" si="1"/>
        <v>0</v>
      </c>
      <c r="D23" s="228"/>
      <c r="E23" s="229">
        <f t="shared" si="2"/>
        <v>0</v>
      </c>
      <c r="F23" s="229">
        <f t="shared" si="3"/>
        <v>0</v>
      </c>
      <c r="J23">
        <v>64.86</v>
      </c>
    </row>
    <row r="24" spans="1:10" ht="20.100000000000001" customHeight="1" x14ac:dyDescent="0.25">
      <c r="A24" s="220"/>
      <c r="B24" s="221">
        <f t="shared" si="0"/>
        <v>0</v>
      </c>
      <c r="C24" s="222">
        <f t="shared" si="1"/>
        <v>0</v>
      </c>
      <c r="D24" s="228"/>
      <c r="E24" s="229">
        <f t="shared" si="2"/>
        <v>0</v>
      </c>
      <c r="F24" s="229">
        <f t="shared" si="3"/>
        <v>0</v>
      </c>
      <c r="J24">
        <v>1</v>
      </c>
    </row>
    <row r="25" spans="1:10" ht="20.100000000000001" customHeight="1" x14ac:dyDescent="0.25">
      <c r="A25" s="220"/>
      <c r="B25" s="221">
        <f t="shared" si="0"/>
        <v>0</v>
      </c>
      <c r="C25" s="222">
        <f t="shared" si="1"/>
        <v>0</v>
      </c>
      <c r="D25" s="228"/>
      <c r="E25" s="229">
        <f t="shared" si="2"/>
        <v>0</v>
      </c>
      <c r="F25" s="229">
        <f t="shared" si="3"/>
        <v>0</v>
      </c>
      <c r="J25">
        <v>20.14</v>
      </c>
    </row>
    <row r="26" spans="1:10" ht="20.100000000000001" customHeight="1" x14ac:dyDescent="0.25">
      <c r="A26" s="220"/>
      <c r="B26" s="221">
        <f t="shared" si="0"/>
        <v>0</v>
      </c>
      <c r="C26" s="222">
        <f t="shared" si="1"/>
        <v>0</v>
      </c>
      <c r="D26" s="228"/>
      <c r="E26" s="229">
        <f t="shared" si="2"/>
        <v>0</v>
      </c>
      <c r="F26" s="229">
        <f t="shared" si="3"/>
        <v>0</v>
      </c>
      <c r="J26">
        <v>189.77</v>
      </c>
    </row>
    <row r="27" spans="1:10" ht="20.100000000000001" customHeight="1" x14ac:dyDescent="0.25">
      <c r="A27" s="220"/>
      <c r="B27" s="221">
        <f t="shared" si="0"/>
        <v>0</v>
      </c>
      <c r="C27" s="222">
        <f t="shared" si="1"/>
        <v>0</v>
      </c>
      <c r="D27" s="228"/>
      <c r="E27" s="229">
        <f t="shared" si="2"/>
        <v>0</v>
      </c>
      <c r="F27" s="229">
        <f t="shared" si="3"/>
        <v>0</v>
      </c>
      <c r="J27">
        <v>20.14</v>
      </c>
    </row>
    <row r="28" spans="1:10" ht="20.100000000000001" customHeight="1" x14ac:dyDescent="0.25">
      <c r="A28" s="220"/>
      <c r="B28" s="221">
        <f t="shared" si="0"/>
        <v>0</v>
      </c>
      <c r="C28" s="222">
        <f t="shared" si="1"/>
        <v>0</v>
      </c>
      <c r="D28" s="228"/>
      <c r="E28" s="229">
        <f t="shared" si="2"/>
        <v>0</v>
      </c>
      <c r="F28" s="229">
        <f t="shared" si="3"/>
        <v>0</v>
      </c>
      <c r="J28">
        <v>65.239999999999995</v>
      </c>
    </row>
    <row r="29" spans="1:10" ht="20.100000000000001" customHeight="1" x14ac:dyDescent="0.25">
      <c r="A29" s="220"/>
      <c r="B29" s="221">
        <f>IFERROR(VLOOKUP(A29,Tabla_Datos,2,FALSE),0)</f>
        <v>0</v>
      </c>
      <c r="C29" s="222">
        <f>IFERROR(VLOOKUP(A29,Tabla_Datos,3,FALSE),0)</f>
        <v>0</v>
      </c>
      <c r="D29" s="228"/>
      <c r="E29" s="229">
        <f>IFERROR(VLOOKUP(A29,Tabla_Comp_Presup,7,FALSE),0)</f>
        <v>0</v>
      </c>
      <c r="F29" s="229">
        <f>ROUND(D29*E29,15)</f>
        <v>0</v>
      </c>
      <c r="J29">
        <v>167.44</v>
      </c>
    </row>
    <row r="30" spans="1:10" ht="20.100000000000001" customHeight="1" x14ac:dyDescent="0.25">
      <c r="A30" s="220"/>
      <c r="B30" s="221">
        <f t="shared" si="0"/>
        <v>0</v>
      </c>
      <c r="C30" s="222">
        <f t="shared" si="1"/>
        <v>0</v>
      </c>
      <c r="D30" s="228"/>
      <c r="E30" s="229">
        <f t="shared" si="2"/>
        <v>0</v>
      </c>
      <c r="F30" s="229">
        <f t="shared" si="3"/>
        <v>0</v>
      </c>
      <c r="J30">
        <v>20.85</v>
      </c>
    </row>
    <row r="31" spans="1:10" ht="20.100000000000001" customHeight="1" x14ac:dyDescent="0.25">
      <c r="A31" s="220"/>
      <c r="B31" s="221">
        <f>IFERROR(VLOOKUP(A31,Tabla_Datos,2,FALSE),0)</f>
        <v>0</v>
      </c>
      <c r="C31" s="222">
        <f>IFERROR(VLOOKUP(A31,Tabla_Datos,3,FALSE),0)</f>
        <v>0</v>
      </c>
      <c r="D31" s="228"/>
      <c r="E31" s="229">
        <f>IFERROR(VLOOKUP(A31,Tabla_Comp_Presup,7,FALSE),0)</f>
        <v>0</v>
      </c>
      <c r="F31" s="229">
        <f>ROUND(D31*E31,15)</f>
        <v>0</v>
      </c>
      <c r="J31">
        <v>93.47</v>
      </c>
    </row>
    <row r="32" spans="1:10" ht="20.100000000000001" customHeight="1" x14ac:dyDescent="0.25">
      <c r="A32" s="220"/>
      <c r="B32" s="221">
        <f t="shared" si="0"/>
        <v>0</v>
      </c>
      <c r="C32" s="222">
        <f t="shared" si="1"/>
        <v>0</v>
      </c>
      <c r="D32" s="228"/>
      <c r="E32" s="229">
        <f t="shared" si="2"/>
        <v>0</v>
      </c>
      <c r="F32" s="229">
        <f t="shared" si="3"/>
        <v>0</v>
      </c>
      <c r="J32">
        <v>1</v>
      </c>
    </row>
    <row r="33" spans="1:10" ht="20.100000000000001" customHeight="1" x14ac:dyDescent="0.25">
      <c r="A33" s="220"/>
      <c r="B33" s="221">
        <f t="shared" si="0"/>
        <v>0</v>
      </c>
      <c r="C33" s="222">
        <f t="shared" si="1"/>
        <v>0</v>
      </c>
      <c r="D33" s="228"/>
      <c r="E33" s="229">
        <f t="shared" si="2"/>
        <v>0</v>
      </c>
      <c r="F33" s="229">
        <f t="shared" si="3"/>
        <v>0</v>
      </c>
      <c r="J33">
        <v>2.8</v>
      </c>
    </row>
    <row r="34" spans="1:10" ht="20.100000000000001" customHeight="1" x14ac:dyDescent="0.25">
      <c r="A34" s="220"/>
      <c r="B34" s="221">
        <f t="shared" si="0"/>
        <v>0</v>
      </c>
      <c r="C34" s="222">
        <f t="shared" si="1"/>
        <v>0</v>
      </c>
      <c r="D34" s="228"/>
      <c r="E34" s="229">
        <f t="shared" si="2"/>
        <v>0</v>
      </c>
      <c r="F34" s="229">
        <f t="shared" si="3"/>
        <v>0</v>
      </c>
      <c r="J34">
        <v>35.39</v>
      </c>
    </row>
    <row r="35" spans="1:10" ht="20.100000000000001" customHeight="1" x14ac:dyDescent="0.25">
      <c r="A35" s="220"/>
      <c r="B35" s="221">
        <f t="shared" si="0"/>
        <v>0</v>
      </c>
      <c r="C35" s="222">
        <f t="shared" si="1"/>
        <v>0</v>
      </c>
      <c r="D35" s="228"/>
      <c r="E35" s="229">
        <f t="shared" si="2"/>
        <v>0</v>
      </c>
      <c r="F35" s="229">
        <f t="shared" si="3"/>
        <v>0</v>
      </c>
      <c r="J35">
        <v>14.67</v>
      </c>
    </row>
    <row r="36" spans="1:10" ht="20.100000000000001" customHeight="1" x14ac:dyDescent="0.25">
      <c r="A36" s="220"/>
      <c r="B36" s="221">
        <f t="shared" si="0"/>
        <v>0</v>
      </c>
      <c r="C36" s="222">
        <f t="shared" si="1"/>
        <v>0</v>
      </c>
      <c r="D36" s="228"/>
      <c r="E36" s="229">
        <f t="shared" si="2"/>
        <v>0</v>
      </c>
      <c r="F36" s="229">
        <f t="shared" si="3"/>
        <v>0</v>
      </c>
      <c r="J36">
        <v>167.44</v>
      </c>
    </row>
    <row r="37" spans="1:10" ht="20.100000000000001" customHeight="1" x14ac:dyDescent="0.25">
      <c r="A37" s="220"/>
      <c r="B37" s="221">
        <f t="shared" si="0"/>
        <v>0</v>
      </c>
      <c r="C37" s="222">
        <f t="shared" si="1"/>
        <v>0</v>
      </c>
      <c r="D37" s="228"/>
      <c r="E37" s="229">
        <f t="shared" si="2"/>
        <v>0</v>
      </c>
      <c r="F37" s="229">
        <f t="shared" si="3"/>
        <v>0</v>
      </c>
      <c r="H37" s="362"/>
      <c r="J37">
        <v>304.08999999999997</v>
      </c>
    </row>
    <row r="38" spans="1:10" ht="20.100000000000001" customHeight="1" x14ac:dyDescent="0.25">
      <c r="A38" s="220"/>
      <c r="B38" s="221">
        <f t="shared" si="0"/>
        <v>0</v>
      </c>
      <c r="C38" s="222">
        <f t="shared" si="1"/>
        <v>0</v>
      </c>
      <c r="D38" s="228"/>
      <c r="E38" s="229">
        <f t="shared" si="2"/>
        <v>0</v>
      </c>
      <c r="F38" s="229">
        <f t="shared" si="3"/>
        <v>0</v>
      </c>
      <c r="J38">
        <v>7.99</v>
      </c>
    </row>
    <row r="39" spans="1:10" ht="20.100000000000001" customHeight="1" x14ac:dyDescent="0.25">
      <c r="A39" s="220"/>
      <c r="B39" s="221">
        <f t="shared" si="0"/>
        <v>0</v>
      </c>
      <c r="C39" s="222">
        <f t="shared" si="1"/>
        <v>0</v>
      </c>
      <c r="D39" s="228"/>
      <c r="E39" s="229">
        <f t="shared" si="2"/>
        <v>0</v>
      </c>
      <c r="F39" s="229">
        <f t="shared" si="3"/>
        <v>0</v>
      </c>
      <c r="J39">
        <v>0.42</v>
      </c>
    </row>
    <row r="40" spans="1:10" ht="20.100000000000001" customHeight="1" x14ac:dyDescent="0.25">
      <c r="A40" s="220"/>
      <c r="B40" s="221">
        <f t="shared" si="0"/>
        <v>0</v>
      </c>
      <c r="C40" s="222">
        <f t="shared" si="1"/>
        <v>0</v>
      </c>
      <c r="D40" s="228"/>
      <c r="E40" s="229">
        <f t="shared" si="2"/>
        <v>0</v>
      </c>
      <c r="F40" s="229">
        <f t="shared" si="3"/>
        <v>0</v>
      </c>
      <c r="J40">
        <v>2.8</v>
      </c>
    </row>
    <row r="41" spans="1:10" ht="20.100000000000001" customHeight="1" x14ac:dyDescent="0.25">
      <c r="A41" s="220"/>
      <c r="B41" s="221">
        <f t="shared" si="0"/>
        <v>0</v>
      </c>
      <c r="C41" s="222">
        <f t="shared" si="1"/>
        <v>0</v>
      </c>
      <c r="D41" s="228"/>
      <c r="E41" s="229">
        <f t="shared" si="2"/>
        <v>0</v>
      </c>
      <c r="F41" s="229">
        <f t="shared" si="3"/>
        <v>0</v>
      </c>
      <c r="J41">
        <v>1</v>
      </c>
    </row>
    <row r="42" spans="1:10" ht="20.100000000000001" customHeight="1" x14ac:dyDescent="0.25">
      <c r="A42" s="220"/>
      <c r="B42" s="221">
        <f t="shared" si="0"/>
        <v>0</v>
      </c>
      <c r="C42" s="222">
        <f t="shared" si="1"/>
        <v>0</v>
      </c>
      <c r="D42" s="228"/>
      <c r="E42" s="229">
        <f t="shared" si="2"/>
        <v>0</v>
      </c>
      <c r="F42" s="229">
        <f t="shared" si="3"/>
        <v>0</v>
      </c>
      <c r="J42">
        <v>1</v>
      </c>
    </row>
    <row r="43" spans="1:10" ht="20.100000000000001" customHeight="1" x14ac:dyDescent="0.25">
      <c r="A43" s="220"/>
      <c r="B43" s="221">
        <f t="shared" si="0"/>
        <v>0</v>
      </c>
      <c r="C43" s="222">
        <f t="shared" si="1"/>
        <v>0</v>
      </c>
      <c r="D43" s="228"/>
      <c r="E43" s="229">
        <f t="shared" si="2"/>
        <v>0</v>
      </c>
      <c r="F43" s="229">
        <f t="shared" si="3"/>
        <v>0</v>
      </c>
      <c r="J43">
        <v>1</v>
      </c>
    </row>
    <row r="44" spans="1:10" ht="20.100000000000001" customHeight="1" x14ac:dyDescent="0.25">
      <c r="A44" s="220"/>
      <c r="B44" s="221">
        <f>IFERROR(VLOOKUP(A44,Tabla_Datos,2,FALSE),0)</f>
        <v>0</v>
      </c>
      <c r="C44" s="222">
        <f>IFERROR(VLOOKUP(A44,Tabla_Datos,3,FALSE),0)</f>
        <v>0</v>
      </c>
      <c r="D44" s="228"/>
      <c r="E44" s="229">
        <f>IFERROR(VLOOKUP(A44,Tabla_Comp_Presup,7,FALSE),0)</f>
        <v>0</v>
      </c>
      <c r="F44" s="229">
        <f>ROUND(D44*E44,15)</f>
        <v>0</v>
      </c>
      <c r="J44">
        <v>1</v>
      </c>
    </row>
    <row r="45" spans="1:10" ht="20.100000000000001" customHeight="1" x14ac:dyDescent="0.25">
      <c r="A45" s="220"/>
      <c r="B45" s="221">
        <f>IFERROR(VLOOKUP(A45,Tabla_Datos,2,FALSE),0)</f>
        <v>0</v>
      </c>
      <c r="C45" s="222">
        <f>IFERROR(VLOOKUP(A45,Tabla_Datos,3,FALSE),0)</f>
        <v>0</v>
      </c>
      <c r="D45" s="228"/>
      <c r="E45" s="229">
        <f>IFERROR(VLOOKUP(A45,Tabla_Comp_Presup,7,FALSE),0)</f>
        <v>0</v>
      </c>
      <c r="F45" s="229">
        <f>ROUND(D45*E45,15)</f>
        <v>0</v>
      </c>
      <c r="J45">
        <v>1</v>
      </c>
    </row>
    <row r="46" spans="1:10" ht="20.100000000000001" customHeight="1" x14ac:dyDescent="0.25">
      <c r="A46" s="220"/>
      <c r="B46" s="221">
        <f>IFERROR(VLOOKUP(A46,Tabla_Datos,2,FALSE),0)</f>
        <v>0</v>
      </c>
      <c r="C46" s="222">
        <f>IFERROR(VLOOKUP(A46,Tabla_Datos,3,FALSE),0)</f>
        <v>0</v>
      </c>
      <c r="D46" s="228"/>
      <c r="E46" s="229">
        <f>IFERROR(VLOOKUP(A46,Tabla_Comp_Presup,7,FALSE),0)</f>
        <v>0</v>
      </c>
      <c r="F46" s="229">
        <f>ROUND(D46*E46,15)</f>
        <v>0</v>
      </c>
    </row>
    <row r="47" spans="1:10" ht="20.100000000000001" customHeight="1" x14ac:dyDescent="0.25">
      <c r="A47" s="220"/>
      <c r="B47" s="221"/>
      <c r="C47" s="222"/>
      <c r="D47" s="228"/>
      <c r="E47" s="229"/>
      <c r="F47" s="229"/>
    </row>
    <row r="48" spans="1:10" ht="20.100000000000001" customHeight="1" x14ac:dyDescent="0.25">
      <c r="A48" s="220"/>
      <c r="B48" s="221"/>
      <c r="C48" s="222"/>
      <c r="D48" s="228"/>
      <c r="E48" s="229"/>
      <c r="F48" s="229"/>
    </row>
    <row r="49" spans="1:6" ht="20.100000000000001" customHeight="1" x14ac:dyDescent="0.25">
      <c r="A49" s="193"/>
      <c r="B49" s="194"/>
      <c r="C49" s="195"/>
      <c r="D49" s="196"/>
      <c r="E49" s="197"/>
      <c r="F49" s="197"/>
    </row>
    <row r="50" spans="1:6" ht="20.100000000000001" customHeight="1" x14ac:dyDescent="0.25">
      <c r="A50" s="230" t="s">
        <v>1106</v>
      </c>
      <c r="B50" s="231" t="s">
        <v>1162</v>
      </c>
      <c r="C50" s="232"/>
      <c r="D50" s="233"/>
      <c r="E50" s="234"/>
      <c r="F50" s="235">
        <f>ROUND(F59/Coef_Paso_Vivienda,2)</f>
        <v>0</v>
      </c>
    </row>
    <row r="51" spans="1:6" ht="20.100000000000001" customHeight="1" x14ac:dyDescent="0.25">
      <c r="A51" s="236" t="s">
        <v>1107</v>
      </c>
      <c r="B51" s="237" t="str">
        <f>"COSTO FINANCIERO  "&amp;ROUND(Costo_Financiero*100,2)&amp;" % de ( 1 )"</f>
        <v>COSTO FINANCIERO  0 % de ( 1 )</v>
      </c>
      <c r="C51" s="238">
        <f>Costo_Financiero</f>
        <v>0</v>
      </c>
      <c r="D51" s="239"/>
      <c r="E51" s="240">
        <f>Costo_Financiero</f>
        <v>0</v>
      </c>
      <c r="F51" s="241">
        <f>ROUND(F50*Costo_Financiero,2)</f>
        <v>0</v>
      </c>
    </row>
    <row r="52" spans="1:6" ht="20.100000000000001" customHeight="1" x14ac:dyDescent="0.25">
      <c r="A52" s="236" t="s">
        <v>1108</v>
      </c>
      <c r="B52" s="237" t="s">
        <v>1158</v>
      </c>
      <c r="C52" s="238"/>
      <c r="D52" s="239"/>
      <c r="E52" s="242"/>
      <c r="F52" s="241">
        <f>F50+F51</f>
        <v>0</v>
      </c>
    </row>
    <row r="53" spans="1:6" ht="20.100000000000001" customHeight="1" x14ac:dyDescent="0.25">
      <c r="A53" s="236" t="s">
        <v>1109</v>
      </c>
      <c r="B53" s="243" t="str">
        <f>CONCATENATE("GASTOS GENERALES  ",ROUND(Gastos_Generales*100,3)," % de ( 3 )")</f>
        <v>GASTOS GENERALES  10 % de ( 3 )</v>
      </c>
      <c r="C53" s="240">
        <f>Gastos_Generales</f>
        <v>0.1</v>
      </c>
      <c r="D53" s="244"/>
      <c r="E53" s="242"/>
      <c r="F53" s="241">
        <f>ROUND(F52*Gastos_Generales,2)</f>
        <v>0</v>
      </c>
    </row>
    <row r="54" spans="1:6" ht="20.100000000000001" customHeight="1" x14ac:dyDescent="0.25">
      <c r="A54" s="236" t="s">
        <v>1110</v>
      </c>
      <c r="B54" s="243" t="str">
        <f>CONCATENATE("BENEFICIOS  ",ROUND(Beneficio*100,2)," % de ( 3 )")</f>
        <v>BENEFICIOS  10 % de ( 3 )</v>
      </c>
      <c r="C54" s="240">
        <f>Beneficio</f>
        <v>0.1</v>
      </c>
      <c r="D54" s="244"/>
      <c r="E54" s="242"/>
      <c r="F54" s="241">
        <f>ROUND(F52*Beneficio,2)</f>
        <v>0</v>
      </c>
    </row>
    <row r="55" spans="1:6" ht="20.100000000000001" customHeight="1" x14ac:dyDescent="0.25">
      <c r="A55" s="236">
        <v>6</v>
      </c>
      <c r="B55" s="237" t="s">
        <v>1159</v>
      </c>
      <c r="C55" s="242"/>
      <c r="D55" s="244"/>
      <c r="E55" s="242"/>
      <c r="F55" s="241">
        <f>F52+F53+F54</f>
        <v>0</v>
      </c>
    </row>
    <row r="56" spans="1:6" ht="20.100000000000001" customHeight="1" x14ac:dyDescent="0.25">
      <c r="A56" s="236" t="s">
        <v>1160</v>
      </c>
      <c r="B56" s="243" t="str">
        <f>CONCATENATE("INGRESOS BRUTOS Y LOTE HOGAR  ",ROUND(Ingresos_Brutos*100,2)," % de ( 6 )")</f>
        <v>INGRESOS BRUTOS Y LOTE HOGAR  2,4 % de ( 6 )</v>
      </c>
      <c r="C56" s="240">
        <f>Ingresos_Brutos</f>
        <v>2.4E-2</v>
      </c>
      <c r="D56" s="244"/>
      <c r="E56" s="242"/>
      <c r="F56" s="241">
        <f>IF(Ingresos_Brutos=0,,ROUND(Ingresos_Brutos*F55,2))</f>
        <v>0</v>
      </c>
    </row>
    <row r="57" spans="1:6" ht="20.100000000000001" customHeight="1" x14ac:dyDescent="0.25">
      <c r="A57" s="245" t="s">
        <v>1161</v>
      </c>
      <c r="B57" s="246" t="str">
        <f>CONCATENATE("IMPUESTO AL VALOR AGREGADO ",IVA_Vivienda*100," % de ( 6 )")</f>
        <v>IMPUESTO AL VALOR AGREGADO 0,000000000001 % de ( 6 )</v>
      </c>
      <c r="C57" s="247">
        <f>IVA_Vivienda</f>
        <v>1E-14</v>
      </c>
      <c r="D57" s="248"/>
      <c r="E57" s="249"/>
      <c r="F57" s="250">
        <f>IF(IVA_Vivienda=0,,ROUND(IVA_Vivienda*F55,2))</f>
        <v>0</v>
      </c>
    </row>
    <row r="58" spans="1:6" ht="20.100000000000001" customHeight="1" x14ac:dyDescent="0.25">
      <c r="A58" s="88"/>
      <c r="B58" s="83"/>
      <c r="C58" s="83"/>
      <c r="D58" s="84"/>
      <c r="E58" s="85"/>
      <c r="F58" s="2"/>
    </row>
    <row r="59" spans="1:6" ht="20.100000000000001" customHeight="1" x14ac:dyDescent="0.25">
      <c r="A59" s="251"/>
      <c r="B59" s="252" t="str">
        <f>"PRECIO TOTAL VIVENDA"</f>
        <v>PRECIO TOTAL VIVENDA</v>
      </c>
      <c r="C59" s="252"/>
      <c r="D59" s="253"/>
      <c r="E59" s="251"/>
      <c r="F59" s="254">
        <f>SUM(F11:F48)</f>
        <v>0</v>
      </c>
    </row>
  </sheetData>
  <mergeCells count="7">
    <mergeCell ref="A1:F1"/>
    <mergeCell ref="A7:A8"/>
    <mergeCell ref="B7:B8"/>
    <mergeCell ref="C7:C8"/>
    <mergeCell ref="D7:D8"/>
    <mergeCell ref="E7:E8"/>
    <mergeCell ref="F7:F8"/>
  </mergeCells>
  <conditionalFormatting sqref="A31:B31 A11:A49 B10:B49">
    <cfRule type="expression" dxfId="138" priority="3" stopIfTrue="1">
      <formula>$C10=0</formula>
    </cfRule>
  </conditionalFormatting>
  <conditionalFormatting sqref="A10">
    <cfRule type="expression" dxfId="137" priority="2" stopIfTrue="1">
      <formula>$C10=0</formula>
    </cfRule>
  </conditionalFormatting>
  <conditionalFormatting sqref="F50">
    <cfRule type="expression" dxfId="136" priority="1" stopIfTrue="1">
      <formula>#REF!=1</formula>
    </cfRule>
  </conditionalFormatting>
  <pageMargins left="0.39370078740157483" right="0.39370078740157483" top="0.74803149606299213" bottom="0.74803149606299213" header="0.31496062992125984" footer="0.31496062992125984"/>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75</vt:i4>
      </vt:variant>
    </vt:vector>
  </HeadingPairs>
  <TitlesOfParts>
    <vt:vector size="96" baseType="lpstr">
      <vt:lpstr>Datos</vt:lpstr>
      <vt:lpstr>RGP</vt:lpstr>
      <vt:lpstr>LAN 1</vt:lpstr>
      <vt:lpstr>LAN 2</vt:lpstr>
      <vt:lpstr>LAN 3</vt:lpstr>
      <vt:lpstr>LAN 4</vt:lpstr>
      <vt:lpstr>LAN 5</vt:lpstr>
      <vt:lpstr>LAN 6</vt:lpstr>
      <vt:lpstr>P-G (2 PISO)</vt:lpstr>
      <vt:lpstr>Espacios Comunes Torre</vt:lpstr>
      <vt:lpstr>INFRA</vt:lpstr>
      <vt:lpstr>Espacios Comunes bloque S - O</vt:lpstr>
      <vt:lpstr>CyP</vt:lpstr>
      <vt:lpstr>PTyCI</vt:lpstr>
      <vt:lpstr>AP</vt:lpstr>
      <vt:lpstr>Grafico Avance Obra</vt:lpstr>
      <vt:lpstr>Gráfico Curva Inversiones</vt:lpstr>
      <vt:lpstr>Insumos</vt:lpstr>
      <vt:lpstr>Indices</vt:lpstr>
      <vt:lpstr>Códigos Items</vt:lpstr>
      <vt:lpstr>Gastos Generales</vt:lpstr>
      <vt:lpstr>Anticipo_Financiero</vt:lpstr>
      <vt:lpstr>AP!Área_de_impresión</vt:lpstr>
      <vt:lpstr>CyP!Área_de_impresión</vt:lpstr>
      <vt:lpstr>'LAN 1'!Área_de_impresión</vt:lpstr>
      <vt:lpstr>'LAN 2'!Área_de_impresión</vt:lpstr>
      <vt:lpstr>'LAN 4'!Área_de_impresión</vt:lpstr>
      <vt:lpstr>'LAN 5'!Área_de_impresión</vt:lpstr>
      <vt:lpstr>PTyCI!Área_de_impresión</vt:lpstr>
      <vt:lpstr>RGP!Área_de_impresión</vt:lpstr>
      <vt:lpstr>Beneficio</vt:lpstr>
      <vt:lpstr>Cant_Viv_P1</vt:lpstr>
      <vt:lpstr>Cant_Viv_P2</vt:lpstr>
      <vt:lpstr>Cant_Viv_P3</vt:lpstr>
      <vt:lpstr>Cant_Viv_P4</vt:lpstr>
      <vt:lpstr>Cant_Viv_P5</vt:lpstr>
      <vt:lpstr>Cant_Viv_P6</vt:lpstr>
      <vt:lpstr>Cant_Viv_P7</vt:lpstr>
      <vt:lpstr>Coef_Paso_Infraestructura</vt:lpstr>
      <vt:lpstr>Coef_Paso_Vivienda</vt:lpstr>
      <vt:lpstr>Comitente</vt:lpstr>
      <vt:lpstr>Contratista</vt:lpstr>
      <vt:lpstr>Costo_Financiero</vt:lpstr>
      <vt:lpstr>ESPACIO_COMUN</vt:lpstr>
      <vt:lpstr>ESPACIO_COMUN_ALAS</vt:lpstr>
      <vt:lpstr>EspacioComun</vt:lpstr>
      <vt:lpstr>EspacioComun_Alas</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PRECIO_P4</vt:lpstr>
      <vt:lpstr>PRECIO_P5</vt:lpstr>
      <vt:lpstr>PRECIO_P6</vt:lpstr>
      <vt:lpstr>PRECIO_P7</vt:lpstr>
      <vt:lpstr>Presupuesto_Oficial</vt:lpstr>
      <vt:lpstr>Tabla_AP</vt:lpstr>
      <vt:lpstr>Tabla_Código_Items</vt:lpstr>
      <vt:lpstr>Tabla_Comp_Presup</vt:lpstr>
      <vt:lpstr>Tabla_CyP</vt:lpstr>
      <vt:lpstr>Tabla_Datos</vt:lpstr>
      <vt:lpstr>'Espacios Comunes bloque S - O'!Tabla_EC</vt:lpstr>
      <vt:lpstr>Tabla_EC</vt:lpstr>
      <vt:lpstr>Tabla_EC2</vt:lpstr>
      <vt:lpstr>Tabla_Indices</vt:lpstr>
      <vt:lpstr>Tabla_Infraestructura</vt:lpstr>
      <vt:lpstr>Tabla_Insumos</vt:lpstr>
      <vt:lpstr>Tabla_NumeroItem</vt:lpstr>
      <vt:lpstr>Tabla_P1</vt:lpstr>
      <vt:lpstr>Tabla_P2</vt:lpstr>
      <vt:lpstr>Tabla_P3</vt:lpstr>
      <vt:lpstr>Tabla_P4</vt:lpstr>
      <vt:lpstr>Tabla_P5</vt:lpstr>
      <vt:lpstr>Tabla_P6</vt:lpstr>
      <vt:lpstr>Tabla_P7</vt:lpstr>
      <vt:lpstr>Tipo_P1</vt:lpstr>
      <vt:lpstr>Tipo_P2</vt:lpstr>
      <vt:lpstr>Tipo_P3</vt:lpstr>
      <vt:lpstr>Tipo_P4</vt:lpstr>
      <vt:lpstr>Tipo_P5</vt:lpstr>
      <vt:lpstr>Tipo_P6</vt:lpstr>
      <vt:lpstr>Tipo_P7</vt:lpstr>
      <vt:lpstr>Indices!Títulos_a_imprimir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ASUS</cp:lastModifiedBy>
  <cp:lastPrinted>2022-12-16T14:56:29Z</cp:lastPrinted>
  <dcterms:created xsi:type="dcterms:W3CDTF">2016-09-02T20:54:46Z</dcterms:created>
  <dcterms:modified xsi:type="dcterms:W3CDTF">2023-01-05T14:52:28Z</dcterms:modified>
</cp:coreProperties>
</file>