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14- Calle Guemes\"/>
    </mc:Choice>
  </mc:AlternateContent>
  <xr:revisionPtr revIDLastSave="0" documentId="13_ncr:1_{60B35FC2-A21D-4D8B-970A-DCBF312B63AD}" xr6:coauthVersionLast="47" xr6:coauthVersionMax="47" xr10:uidLastSave="{00000000-0000-0000-0000-000000000000}"/>
  <bookViews>
    <workbookView xWindow="-12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1" i="15" l="1"/>
  <c r="C40" i="15"/>
  <c r="D35" i="15"/>
  <c r="D36" i="15"/>
  <c r="D37" i="15"/>
  <c r="D38" i="15"/>
  <c r="D39" i="15"/>
  <c r="D40" i="15"/>
  <c r="D41" i="15"/>
  <c r="D42" i="15"/>
  <c r="D43" i="15"/>
  <c r="D34" i="15"/>
  <c r="A34" i="15" s="1"/>
  <c r="C35" i="15"/>
  <c r="C36" i="15"/>
  <c r="C37" i="15"/>
  <c r="C38" i="15"/>
  <c r="C39" i="15"/>
  <c r="C42" i="15"/>
  <c r="C43" i="15"/>
  <c r="C44" i="15"/>
  <c r="C45" i="15"/>
  <c r="C46" i="15"/>
  <c r="C47" i="15"/>
  <c r="C48" i="15"/>
  <c r="C49" i="15"/>
  <c r="C50"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993" i="6" l="1"/>
  <c r="G1169" i="6"/>
  <c r="G1946" i="6"/>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8" i="2"/>
  <c r="A116" i="2"/>
  <c r="A151" i="9"/>
  <c r="A133" i="9"/>
  <c r="A44" i="2"/>
  <c r="A31" i="2"/>
  <c r="A137" i="9"/>
  <c r="A164" i="2"/>
  <c r="A102" i="9"/>
  <c r="A111" i="2"/>
  <c r="A163" i="2"/>
  <c r="A44" i="9"/>
  <c r="A25" i="9"/>
  <c r="A64" i="9"/>
  <c r="A140" i="2"/>
  <c r="A118" i="2"/>
  <c r="A119" i="2"/>
  <c r="A90" i="2"/>
  <c r="A77" i="9"/>
  <c r="A31" i="9"/>
  <c r="A96" i="2"/>
  <c r="A86" i="9"/>
  <c r="A78" i="9"/>
  <c r="A93" i="2"/>
  <c r="A114" i="9"/>
  <c r="A36" i="2"/>
  <c r="A28" i="9"/>
  <c r="A54" i="2"/>
  <c r="A130" i="2"/>
  <c r="A32" i="9"/>
  <c r="A156" i="2"/>
  <c r="A32" i="2"/>
  <c r="A141" i="2"/>
  <c r="A128" i="2"/>
  <c r="A109" i="9"/>
  <c r="A29" i="2"/>
  <c r="A101" i="9"/>
  <c r="A97" i="2"/>
  <c r="A36" i="9"/>
  <c r="A103" i="9"/>
  <c r="A127" i="2"/>
  <c r="A23" i="2"/>
  <c r="A17" i="2"/>
  <c r="A28" i="2"/>
  <c r="A129" i="2"/>
  <c r="A161" i="9"/>
  <c r="A80" i="9"/>
  <c r="A149" i="9"/>
  <c r="A120" i="9"/>
  <c r="A95" i="2"/>
  <c r="A78" i="2"/>
  <c r="A113" i="9"/>
  <c r="A123" i="9"/>
  <c r="A18" i="9"/>
  <c r="A133" i="2"/>
  <c r="A148" i="9"/>
  <c r="A117" i="2"/>
  <c r="A45" i="9"/>
  <c r="A38" i="9"/>
  <c r="A108" i="2"/>
  <c r="A37" i="9"/>
  <c r="A92" i="2"/>
  <c r="A166" i="2"/>
  <c r="A106" i="9"/>
  <c r="A110" i="9"/>
  <c r="A89" i="9"/>
  <c r="A53" i="2"/>
  <c r="A122" i="2"/>
  <c r="A98" i="2"/>
  <c r="A46" i="9"/>
  <c r="A80" i="2"/>
  <c r="A73" i="9"/>
  <c r="A97" i="9"/>
  <c r="A92" i="9"/>
  <c r="A59" i="2"/>
  <c r="A151" i="2"/>
  <c r="A131" i="9"/>
  <c r="A146" i="2"/>
  <c r="A70" i="2"/>
  <c r="A63" i="2"/>
  <c r="A157" i="9"/>
  <c r="A19" i="9"/>
  <c r="A127" i="9"/>
  <c r="A33" i="9"/>
  <c r="A20" i="2"/>
  <c r="A105" i="9"/>
  <c r="A25" i="2"/>
  <c r="A62" i="2"/>
  <c r="A42" i="9"/>
  <c r="A76" i="9"/>
  <c r="A126" i="9"/>
  <c r="A89" i="2"/>
  <c r="A135" i="2"/>
  <c r="A21" i="9"/>
  <c r="A27" i="9"/>
  <c r="A34" i="2"/>
  <c r="A59" i="9"/>
  <c r="A139" i="2"/>
  <c r="A43" i="2"/>
  <c r="A132" i="9"/>
  <c r="A69" i="9"/>
  <c r="A104" i="2"/>
  <c r="A117" i="9"/>
  <c r="A48" i="2"/>
  <c r="A125" i="2"/>
  <c r="A124" i="9"/>
  <c r="A30" i="9"/>
  <c r="A46" i="2"/>
  <c r="A15" i="9"/>
  <c r="A16" i="9"/>
  <c r="A29" i="9"/>
  <c r="A38" i="2"/>
  <c r="A109" i="2"/>
  <c r="A88" i="2"/>
  <c r="A136" i="2"/>
  <c r="A72" i="2"/>
  <c r="A49" i="9"/>
  <c r="A110" i="2"/>
  <c r="A63" i="9"/>
  <c r="A102" i="2"/>
  <c r="A119" i="9"/>
  <c r="A104" i="9"/>
  <c r="A147" i="9"/>
  <c r="A24" i="9"/>
  <c r="A20" i="9"/>
  <c r="A54" i="9"/>
  <c r="A162" i="9"/>
  <c r="A136" i="9"/>
  <c r="A85" i="2"/>
  <c r="A85" i="9"/>
  <c r="A23" i="9"/>
  <c r="A35" i="2"/>
  <c r="A45" i="2"/>
  <c r="A145" i="2"/>
  <c r="A157" i="2"/>
  <c r="A148" i="2"/>
  <c r="A42" i="2"/>
  <c r="A82" i="2"/>
  <c r="A125" i="9"/>
  <c r="A142" i="9"/>
  <c r="A87" i="9"/>
  <c r="A94" i="9"/>
  <c r="A56" i="9"/>
  <c r="A101" i="2"/>
  <c r="A95" i="9"/>
  <c r="A67" i="9"/>
  <c r="A26" i="9"/>
  <c r="A99" i="2"/>
  <c r="A139" i="9"/>
  <c r="A93" i="9"/>
  <c r="A96" i="9"/>
  <c r="A118" i="9"/>
  <c r="A107" i="2"/>
  <c r="A138" i="9"/>
  <c r="A165" i="2"/>
  <c r="A81" i="2"/>
  <c r="A107" i="9"/>
  <c r="A50" i="2"/>
  <c r="A40" i="2"/>
  <c r="A90" i="9"/>
  <c r="A76" i="2"/>
  <c r="A121" i="9"/>
  <c r="A68" i="9"/>
  <c r="A160" i="2"/>
  <c r="A61" i="2"/>
  <c r="A120" i="2"/>
  <c r="A19" i="2"/>
  <c r="A30" i="2"/>
  <c r="A103" i="2"/>
  <c r="A146" i="9"/>
  <c r="A143" i="9"/>
  <c r="A162" i="2"/>
  <c r="A129" i="9"/>
  <c r="A161" i="2"/>
  <c r="A99" i="9"/>
  <c r="A57" i="2"/>
  <c r="A144" i="9"/>
  <c r="A62" i="9"/>
  <c r="A39" i="9"/>
  <c r="A124" i="2"/>
  <c r="A112" i="2"/>
  <c r="A66" i="2"/>
  <c r="A84" i="9"/>
  <c r="A98" i="9"/>
  <c r="A147" i="2"/>
  <c r="A145" i="9"/>
  <c r="A113" i="2"/>
  <c r="A130" i="9"/>
  <c r="A137" i="2"/>
  <c r="A17" i="9"/>
  <c r="A55" i="9"/>
  <c r="A34" i="9"/>
  <c r="A75" i="9"/>
  <c r="A26" i="2"/>
  <c r="A149" i="2"/>
  <c r="A153" i="9"/>
  <c r="A35" i="9"/>
  <c r="A141" i="9"/>
  <c r="A65" i="2"/>
  <c r="A71" i="9"/>
  <c r="A58" i="9"/>
  <c r="A58" i="2"/>
  <c r="A13" i="9"/>
  <c r="A21" i="2"/>
  <c r="A138" i="2"/>
  <c r="A33" i="2"/>
  <c r="A41" i="9"/>
  <c r="A81" i="9"/>
  <c r="A154" i="2"/>
  <c r="A111" i="9"/>
  <c r="A22" i="9"/>
  <c r="A51" i="9"/>
  <c r="A49" i="2"/>
  <c r="A71" i="2"/>
  <c r="A88" i="9"/>
  <c r="A72" i="9"/>
  <c r="A122" i="9"/>
  <c r="A47" i="9"/>
  <c r="A83" i="9"/>
  <c r="A108" i="9"/>
  <c r="A57" i="9"/>
  <c r="A106" i="2"/>
  <c r="A27" i="2"/>
  <c r="A152" i="2"/>
  <c r="A105" i="2"/>
  <c r="A60" i="9"/>
  <c r="A94" i="2"/>
  <c r="A150" i="2"/>
  <c r="A91" i="2"/>
  <c r="A158" i="9"/>
  <c r="A154" i="9"/>
  <c r="A22" i="2"/>
  <c r="A123" i="2"/>
  <c r="A155" i="2"/>
  <c r="A144" i="2"/>
  <c r="A69" i="2"/>
  <c r="A142" i="2"/>
  <c r="A52" i="9"/>
  <c r="A83" i="2"/>
  <c r="A68" i="2"/>
  <c r="A153" i="2"/>
  <c r="A115" i="2"/>
  <c r="A65" i="9"/>
  <c r="A135" i="9"/>
  <c r="A79" i="2"/>
  <c r="A53" i="9"/>
  <c r="A100" i="9"/>
  <c r="A160" i="9"/>
  <c r="A134" i="9"/>
  <c r="A100" i="2"/>
  <c r="A150" i="9"/>
  <c r="A128" i="9"/>
  <c r="A134" i="2"/>
  <c r="A131" i="2"/>
  <c r="A51" i="2"/>
  <c r="A41" i="2"/>
  <c r="A116" i="9"/>
  <c r="A56" i="2"/>
  <c r="A126" i="2"/>
  <c r="A155" i="9"/>
  <c r="A43" i="9"/>
  <c r="A112" i="9"/>
  <c r="A158" i="2"/>
  <c r="A61" i="9"/>
  <c r="A24" i="2"/>
  <c r="A114" i="2"/>
  <c r="A79" i="9"/>
  <c r="A156" i="9"/>
  <c r="A84" i="2"/>
  <c r="A48" i="9"/>
  <c r="A87" i="2"/>
  <c r="A121" i="2"/>
  <c r="A67" i="2"/>
  <c r="A74" i="2"/>
  <c r="A66" i="9"/>
  <c r="A152" i="9"/>
  <c r="A132" i="2"/>
  <c r="A86" i="2"/>
  <c r="A143" i="2"/>
  <c r="A70" i="9"/>
  <c r="A39" i="2"/>
  <c r="A50" i="9"/>
  <c r="A115" i="9"/>
  <c r="A14" i="9"/>
  <c r="A140" i="9"/>
  <c r="A82" i="9"/>
  <c r="A64" i="2"/>
  <c r="A60" i="2"/>
  <c r="A52" i="2"/>
  <c r="A37" i="2"/>
  <c r="A55" i="2"/>
  <c r="A159" i="9"/>
  <c r="A77" i="2"/>
  <c r="A91" i="9"/>
  <c r="A73" i="2"/>
  <c r="A47" i="2"/>
  <c r="A74" i="9"/>
  <c r="A159" i="2"/>
  <c r="A40" i="9"/>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K36" i="20" l="1"/>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80" i="18"/>
  <c r="A75" i="18"/>
  <c r="A116" i="18"/>
  <c r="A30" i="18"/>
  <c r="A44" i="18"/>
  <c r="A117" i="18"/>
  <c r="A74" i="18"/>
  <c r="A91" i="18"/>
  <c r="A58" i="18"/>
  <c r="A22" i="18"/>
  <c r="A110" i="18"/>
  <c r="A61" i="18"/>
  <c r="A73" i="18"/>
  <c r="A146" i="18"/>
  <c r="A24" i="18"/>
  <c r="A153" i="18"/>
  <c r="A78" i="18"/>
  <c r="A108" i="18"/>
  <c r="A33" i="18"/>
  <c r="A127" i="18"/>
  <c r="A106" i="18"/>
  <c r="A60" i="18"/>
  <c r="A92" i="18"/>
  <c r="A150" i="18"/>
  <c r="A71" i="18"/>
  <c r="A158" i="18"/>
  <c r="A41" i="18"/>
  <c r="A159" i="18"/>
  <c r="A134" i="18"/>
  <c r="A53" i="18"/>
  <c r="A62" i="18"/>
  <c r="A26" i="18"/>
  <c r="A64" i="18"/>
  <c r="A138" i="18"/>
  <c r="A144" i="18"/>
  <c r="A142" i="18"/>
  <c r="A77" i="18"/>
  <c r="A83" i="18"/>
  <c r="A27" i="18"/>
  <c r="A90" i="18"/>
  <c r="A148" i="18"/>
  <c r="A128" i="18"/>
  <c r="A126" i="18"/>
  <c r="A131" i="18"/>
  <c r="A119" i="18"/>
  <c r="A113" i="18"/>
  <c r="A97" i="18"/>
  <c r="A86" i="18"/>
  <c r="A31" i="18"/>
  <c r="A48" i="18"/>
  <c r="A122" i="18"/>
  <c r="A107" i="18"/>
  <c r="A145" i="18"/>
  <c r="A68" i="18"/>
  <c r="A21" i="18"/>
  <c r="A123" i="18"/>
  <c r="A45" i="18"/>
  <c r="A84" i="18"/>
  <c r="A49" i="18"/>
  <c r="A65" i="18"/>
  <c r="A32" i="18"/>
  <c r="A164" i="18"/>
  <c r="A17" i="18"/>
  <c r="A37" i="18"/>
  <c r="A115" i="18"/>
  <c r="A136" i="18"/>
  <c r="A160" i="18"/>
  <c r="A98" i="18"/>
  <c r="A39" i="18"/>
  <c r="A89" i="18"/>
  <c r="A63" i="18"/>
  <c r="A43" i="18"/>
  <c r="A35" i="18"/>
  <c r="A29" i="18"/>
  <c r="A163" i="18"/>
  <c r="A161" i="18"/>
  <c r="A20" i="18"/>
  <c r="A114" i="18"/>
  <c r="A154" i="18"/>
  <c r="A99" i="18"/>
  <c r="A139" i="18"/>
  <c r="A19" i="18"/>
  <c r="A105" i="18"/>
  <c r="A103" i="18"/>
  <c r="A25" i="18"/>
  <c r="A34" i="18"/>
  <c r="A51" i="18"/>
  <c r="A66" i="18"/>
  <c r="A125" i="18"/>
  <c r="A140" i="18"/>
  <c r="A111" i="18"/>
  <c r="A165" i="18"/>
  <c r="A28" i="18"/>
  <c r="A141" i="18"/>
  <c r="A72" i="18"/>
  <c r="A121" i="18"/>
  <c r="A70" i="18"/>
  <c r="A112" i="18"/>
  <c r="A102" i="18"/>
  <c r="A56" i="18"/>
  <c r="A47" i="18"/>
  <c r="A109" i="18"/>
  <c r="A46" i="18"/>
  <c r="A155" i="18"/>
  <c r="A124" i="18"/>
  <c r="A81" i="18"/>
  <c r="A88" i="18"/>
  <c r="A54" i="18"/>
  <c r="A94" i="18"/>
  <c r="A130" i="18"/>
  <c r="A23" i="18"/>
  <c r="A129" i="18"/>
  <c r="A38" i="18"/>
  <c r="A36" i="18"/>
  <c r="A79" i="18"/>
  <c r="A156" i="18"/>
  <c r="A147" i="18"/>
  <c r="A42" i="18"/>
  <c r="A104" i="18"/>
  <c r="A149" i="18"/>
  <c r="A100" i="18"/>
  <c r="A59" i="18"/>
  <c r="A157" i="18"/>
  <c r="A67" i="18"/>
  <c r="A132" i="18"/>
  <c r="A87" i="18"/>
  <c r="A137" i="18"/>
  <c r="A101" i="18"/>
  <c r="A16" i="18"/>
  <c r="A69" i="18"/>
  <c r="A120" i="18"/>
  <c r="A55" i="18"/>
  <c r="A151" i="18"/>
  <c r="A96" i="18"/>
  <c r="A143" i="18"/>
  <c r="A50" i="18"/>
  <c r="A57" i="18"/>
  <c r="A162" i="18"/>
  <c r="A85" i="18"/>
  <c r="A95" i="18"/>
  <c r="A18" i="18"/>
  <c r="A82" i="18"/>
  <c r="A76" i="18"/>
  <c r="A52" i="18"/>
  <c r="A152" i="18"/>
  <c r="A93" i="18"/>
  <c r="A118" i="18"/>
  <c r="A133" i="18"/>
  <c r="A40"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3" i="15"/>
  <c r="D179" i="15"/>
  <c r="D175" i="15"/>
  <c r="D171" i="15"/>
  <c r="D167" i="15"/>
  <c r="D163" i="15"/>
  <c r="D159" i="15"/>
  <c r="D155" i="15"/>
  <c r="D126" i="2"/>
  <c r="D122" i="2"/>
  <c r="D118" i="2"/>
  <c r="D110" i="2"/>
  <c r="D78" i="2"/>
  <c r="D74" i="2"/>
  <c r="D70" i="2"/>
  <c r="D66" i="2"/>
  <c r="D62" i="2"/>
  <c r="D58" i="2"/>
  <c r="D54" i="2"/>
  <c r="D50" i="2"/>
  <c r="D46" i="2"/>
  <c r="D42" i="2"/>
  <c r="D38" i="2"/>
  <c r="D168" i="15"/>
  <c r="D152" i="15"/>
  <c r="D71" i="2"/>
  <c r="D55" i="2"/>
  <c r="D39" i="2"/>
  <c r="C172" i="15"/>
  <c r="C183" i="15"/>
  <c r="C179" i="15"/>
  <c r="C175" i="15"/>
  <c r="C171" i="15"/>
  <c r="C167" i="15"/>
  <c r="C163" i="15"/>
  <c r="C159" i="15"/>
  <c r="C155" i="15"/>
  <c r="D176" i="15"/>
  <c r="D156" i="15"/>
  <c r="D75" i="2"/>
  <c r="D59" i="2"/>
  <c r="D43" i="2"/>
  <c r="C168" i="15"/>
  <c r="D182" i="15"/>
  <c r="D178" i="15"/>
  <c r="D174" i="15"/>
  <c r="D170" i="15"/>
  <c r="D166" i="15"/>
  <c r="D162" i="15"/>
  <c r="D158" i="15"/>
  <c r="D154" i="15"/>
  <c r="D133" i="2"/>
  <c r="D125" i="2"/>
  <c r="D101" i="2"/>
  <c r="D93" i="2"/>
  <c r="D77" i="2"/>
  <c r="D73" i="2"/>
  <c r="D69" i="2"/>
  <c r="D65" i="2"/>
  <c r="D61" i="2"/>
  <c r="D57" i="2"/>
  <c r="D53" i="2"/>
  <c r="D49" i="2"/>
  <c r="D45" i="2"/>
  <c r="D41" i="2"/>
  <c r="D37" i="2"/>
  <c r="A35" i="15"/>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80" i="2"/>
  <c r="D76" i="2"/>
  <c r="D72" i="2"/>
  <c r="D68" i="2"/>
  <c r="D64" i="2"/>
  <c r="D60" i="2"/>
  <c r="D56" i="2"/>
  <c r="D52" i="2"/>
  <c r="D48" i="2"/>
  <c r="D44" i="2"/>
  <c r="D40" i="2"/>
  <c r="D36" i="2"/>
  <c r="C181" i="15"/>
  <c r="C177" i="15"/>
  <c r="C173" i="15"/>
  <c r="C169" i="15"/>
  <c r="C165" i="15"/>
  <c r="C161" i="15"/>
  <c r="C157" i="15"/>
  <c r="C153" i="15"/>
  <c r="D180" i="15"/>
  <c r="D164" i="15"/>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121"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65" i="2" l="1"/>
  <c r="I154" i="2"/>
  <c r="I138" i="2"/>
  <c r="I102" i="2"/>
  <c r="I155" i="2"/>
  <c r="I106" i="2"/>
  <c r="I164" i="2"/>
  <c r="I150" i="2"/>
  <c r="I87" i="2"/>
  <c r="I68" i="2"/>
  <c r="I140" i="2"/>
  <c r="I163" i="2"/>
  <c r="I149" i="2"/>
  <c r="I86" i="2"/>
  <c r="I24" i="2"/>
  <c r="D20" i="9" s="1"/>
  <c r="A169" i="18"/>
  <c r="I148" i="2"/>
  <c r="I26" i="2"/>
  <c r="H178" i="2"/>
  <c r="I158" i="2"/>
  <c r="I146" i="2"/>
  <c r="I89" i="2"/>
  <c r="I119" i="2"/>
  <c r="I162" i="2"/>
  <c r="I113" i="2"/>
  <c r="C11" i="2"/>
  <c r="I157" i="2"/>
  <c r="I142" i="2"/>
  <c r="I134" i="2"/>
  <c r="I100" i="2"/>
  <c r="E169" i="9"/>
  <c r="E170" i="9" s="1"/>
  <c r="I156" i="2"/>
  <c r="I141" i="2"/>
  <c r="I122" i="2"/>
  <c r="I85" i="2"/>
  <c r="I130" i="2"/>
  <c r="I98" i="2"/>
  <c r="I64" i="2"/>
  <c r="I78" i="2"/>
  <c r="I117" i="2"/>
  <c r="I115" i="2"/>
  <c r="I77" i="2"/>
  <c r="I147" i="2"/>
  <c r="I139" i="2"/>
  <c r="I133" i="2"/>
  <c r="I126" i="2"/>
  <c r="I94" i="2"/>
  <c r="I60" i="2"/>
  <c r="I66" i="2"/>
  <c r="I71" i="2"/>
  <c r="I103" i="2"/>
  <c r="I73" i="2"/>
  <c r="I90" i="2"/>
  <c r="I56" i="2"/>
  <c r="I62" i="2"/>
  <c r="I67" i="2"/>
  <c r="I83" i="2"/>
  <c r="I61" i="2"/>
  <c r="I161" i="2"/>
  <c r="I153" i="2"/>
  <c r="I145" i="2"/>
  <c r="I137" i="2"/>
  <c r="I105" i="2"/>
  <c r="I118" i="2"/>
  <c r="I84" i="2"/>
  <c r="I48" i="2"/>
  <c r="I58" i="2"/>
  <c r="I43" i="2"/>
  <c r="I75" i="2"/>
  <c r="I41" i="2"/>
  <c r="I160" i="2"/>
  <c r="I152" i="2"/>
  <c r="I144" i="2"/>
  <c r="I136" i="2"/>
  <c r="I101" i="2"/>
  <c r="I114" i="2"/>
  <c r="I80" i="2"/>
  <c r="I44" i="2"/>
  <c r="I46" i="2"/>
  <c r="I128" i="2"/>
  <c r="I47" i="2"/>
  <c r="I37" i="2"/>
  <c r="I159" i="2"/>
  <c r="I151" i="2"/>
  <c r="I143" i="2"/>
  <c r="I135" i="2"/>
  <c r="I93" i="2"/>
  <c r="I110" i="2"/>
  <c r="I76" i="2"/>
  <c r="I32" i="2"/>
  <c r="I34" i="2"/>
  <c r="I120" i="2"/>
  <c r="I132" i="2"/>
  <c r="I25" i="2"/>
  <c r="D21" i="9" s="1"/>
  <c r="I72" i="2"/>
  <c r="I28" i="2"/>
  <c r="I30" i="2"/>
  <c r="I92" i="2"/>
  <c r="I124" i="2"/>
  <c r="I52" i="2"/>
  <c r="I20" i="2"/>
  <c r="I54" i="2"/>
  <c r="I22" i="2"/>
  <c r="D18" i="9" s="1"/>
  <c r="I59" i="2"/>
  <c r="I112" i="2"/>
  <c r="I111" i="2"/>
  <c r="I63" i="2"/>
  <c r="I116" i="2"/>
  <c r="I69" i="2"/>
  <c r="I33" i="2"/>
  <c r="I82" i="2"/>
  <c r="I50" i="2"/>
  <c r="I18" i="2"/>
  <c r="D14" i="9" s="1"/>
  <c r="I51" i="2"/>
  <c r="I104" i="2"/>
  <c r="I107" i="2"/>
  <c r="I55" i="2"/>
  <c r="I108" i="2"/>
  <c r="I65" i="2"/>
  <c r="I29" i="2"/>
  <c r="I40" i="2"/>
  <c r="I74" i="2"/>
  <c r="I42" i="2"/>
  <c r="I109" i="2"/>
  <c r="I35" i="2"/>
  <c r="I131" i="2"/>
  <c r="I99" i="2"/>
  <c r="I39" i="2"/>
  <c r="I96" i="2"/>
  <c r="I57" i="2"/>
  <c r="I21" i="2"/>
  <c r="I36" i="2"/>
  <c r="I70" i="2"/>
  <c r="I38" i="2"/>
  <c r="I97" i="2"/>
  <c r="I27" i="2"/>
  <c r="D126" i="9" s="1"/>
  <c r="I127" i="2"/>
  <c r="I95" i="2"/>
  <c r="I31" i="2"/>
  <c r="I88" i="2"/>
  <c r="I53" i="2"/>
  <c r="I129" i="2"/>
  <c r="I79" i="2"/>
  <c r="I23" i="2"/>
  <c r="D19" i="9" s="1"/>
  <c r="I123" i="2"/>
  <c r="I91" i="2"/>
  <c r="I19" i="2"/>
  <c r="D15" i="9" s="1"/>
  <c r="I81" i="2"/>
  <c r="I49" i="2"/>
  <c r="I17" i="2"/>
  <c r="D13" i="9" s="1"/>
  <c r="I45" i="2"/>
  <c r="H169" i="2"/>
  <c r="D17" i="9"/>
  <c r="D22" i="9"/>
  <c r="D16" i="9"/>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D86" i="9" l="1"/>
  <c r="D117" i="9"/>
  <c r="D57" i="9"/>
  <c r="D99" i="9"/>
  <c r="D59" i="9"/>
  <c r="D95" i="9"/>
  <c r="D38" i="9"/>
  <c r="D50" i="9"/>
  <c r="D37" i="9"/>
  <c r="D115" i="9"/>
  <c r="D61" i="9"/>
  <c r="D43" i="9"/>
  <c r="D108" i="9"/>
  <c r="D109" i="9"/>
  <c r="D84" i="9"/>
  <c r="D39" i="9"/>
  <c r="D120" i="9"/>
  <c r="D42" i="9"/>
  <c r="D106" i="9"/>
  <c r="D48" i="9"/>
  <c r="D67" i="9"/>
  <c r="D65" i="9"/>
  <c r="D88" i="9"/>
  <c r="D73" i="9"/>
  <c r="D91" i="9"/>
  <c r="D29" i="9"/>
  <c r="D41" i="9"/>
  <c r="D47" i="9"/>
  <c r="D111" i="9"/>
  <c r="D114" i="9"/>
  <c r="D58" i="9"/>
  <c r="D125" i="9"/>
  <c r="D113" i="9"/>
  <c r="D79" i="9"/>
  <c r="D23" i="9"/>
  <c r="D104" i="9"/>
  <c r="D45" i="9"/>
  <c r="D89" i="9"/>
  <c r="D36" i="9"/>
  <c r="D63" i="9"/>
  <c r="D56" i="9"/>
  <c r="D51" i="9"/>
  <c r="D74" i="9"/>
  <c r="D101" i="9"/>
  <c r="D124" i="9"/>
  <c r="D103" i="9"/>
  <c r="D72" i="9"/>
  <c r="D32" i="9"/>
  <c r="D44" i="9"/>
  <c r="D54" i="9"/>
  <c r="D119" i="9"/>
  <c r="D69" i="9"/>
  <c r="D78" i="9"/>
  <c r="D116" i="9"/>
  <c r="D26" i="9"/>
  <c r="D92" i="9"/>
  <c r="D33" i="9"/>
  <c r="D90" i="9"/>
  <c r="D40" i="9"/>
  <c r="D46" i="9"/>
  <c r="D52" i="9"/>
  <c r="D75" i="9"/>
  <c r="D100" i="9"/>
  <c r="D76" i="9"/>
  <c r="D77" i="9"/>
  <c r="D25" i="9"/>
  <c r="D112" i="9"/>
  <c r="D129" i="9"/>
  <c r="D31" i="9"/>
  <c r="D110" i="9"/>
  <c r="D118" i="9"/>
  <c r="D127" i="9"/>
  <c r="D71" i="9"/>
  <c r="D97" i="9"/>
  <c r="D87" i="9"/>
  <c r="D96" i="9"/>
  <c r="D107" i="9"/>
  <c r="D34" i="9"/>
  <c r="D98" i="9"/>
  <c r="D55" i="9"/>
  <c r="D128" i="9"/>
  <c r="D102" i="9"/>
  <c r="D123" i="9"/>
  <c r="D122" i="9"/>
  <c r="D49" i="9"/>
  <c r="D93" i="9"/>
  <c r="D66" i="9"/>
  <c r="D64" i="9"/>
  <c r="D53" i="9"/>
  <c r="D105" i="9"/>
  <c r="D68" i="9"/>
  <c r="D27" i="9"/>
  <c r="D24" i="9"/>
  <c r="D85" i="9"/>
  <c r="D60" i="9"/>
  <c r="D94" i="9"/>
  <c r="D35" i="9"/>
  <c r="D30" i="9"/>
  <c r="D62" i="9"/>
  <c r="D28" i="9"/>
  <c r="D70"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G166" i="9" l="1"/>
  <c r="G169" i="9" s="1"/>
  <c r="O166" i="9"/>
  <c r="O169" i="9" s="1"/>
  <c r="H166" i="9"/>
  <c r="H169" i="9" s="1"/>
  <c r="N166" i="9"/>
  <c r="N169" i="9" s="1"/>
  <c r="L166" i="9"/>
  <c r="L169" i="9" s="1"/>
  <c r="P166" i="9"/>
  <c r="P169" i="9" s="1"/>
  <c r="K166" i="9"/>
  <c r="K169" i="9" s="1"/>
  <c r="Q166" i="9"/>
  <c r="Q169" i="9" s="1"/>
  <c r="D164" i="9"/>
  <c r="I166" i="9"/>
  <c r="I169" i="9" s="1"/>
  <c r="F166" i="9"/>
  <c r="F169" i="9" s="1"/>
  <c r="F170" i="9" s="1"/>
  <c r="M166" i="9"/>
  <c r="M169" i="9" s="1"/>
  <c r="J166" i="9"/>
  <c r="J169" i="9" s="1"/>
  <c r="H174" i="2"/>
  <c r="H175" i="2" s="1"/>
  <c r="G170" i="9" l="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<sst xmlns="http://schemas.openxmlformats.org/spreadsheetml/2006/main" count="13972" uniqueCount="2134">
  <si>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</si>
  <si>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</si>
  <si>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</si>
  <si>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</si>
  <si>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</si>
  <si>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</si>
  <si>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</si>
  <si>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</si>
  <si>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</si>
  <si>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</si>
  <si>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</si>
  <si>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</si>
  <si>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</si>
  <si>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</si>
  <si>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</si>
  <si>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</si>
  <si>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</si>
  <si>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</si>
  <si>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</si>
  <si>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</si>
  <si>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</si>
  <si>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</si>
  <si>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</si>
  <si>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</si>
  <si>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</si>
  <si>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</si>
  <si>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</si>
  <si>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</si>
  <si>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</si>
  <si>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</si>
  <si>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</si>
  <si>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</si>
  <si>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</si>
  <si>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</si>
  <si>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</si>
  <si>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</si>
  <si>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</si>
  <si>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</si>
  <si>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</si>
  <si>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</si>
  <si>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</si>
  <si>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</si>
  <si>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</si>
  <si>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</si>
  <si>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</si>
  <si>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</si>
  <si>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</si>
  <si>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</si>
  <si>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</si>
  <si>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</si>
  <si>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</si>
  <si>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</si>
  <si>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</si>
  <si>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</si>
  <si>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</si>
  <si>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</si>
  <si>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</si>
  <si>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</si>
  <si>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</si>
  <si>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</si>
  <si>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</si>
  <si>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</si>
  <si>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</si>
  <si>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</si>
  <si>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</si>
  <si>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</si>
  <si>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</si>
  <si>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</si>
  <si>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</si>
  <si>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</si>
  <si>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</si>
  <si>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</si>
  <si>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</si>
  <si>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</si>
  <si>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</si>
  <si>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</si>
  <si>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</si>
  <si>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</si>
  <si>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</si>
  <si>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</si>
  <si>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</si>
  <si>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</si>
  <si>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</si>
  <si>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</si>
  <si>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</si>
  <si>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</si>
  <si>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</si>
  <si>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</si>
  <si>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</si>
  <si>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</si>
  <si>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</si>
  <si>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</si>
  <si>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</si>
  <si>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</si>
  <si>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</si>
  <si>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</si>
  <si>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</si>
  <si>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</si>
  <si>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</si>
  <si>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</si>
  <si>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</si>
  <si>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</si>
  <si>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</si>
  <si>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</si>
  <si>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</si>
  <si>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</si>
  <si>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</si>
  <si>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</si>
  <si>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</si>
  <si>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</si>
  <si>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</si>
  <si>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</si>
  <si>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</si>
  <si>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</si>
  <si>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</si>
  <si>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</si>
  <si>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</si>
  <si>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</si>
  <si>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</si>
  <si>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</si>
  <si>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</si>
  <si>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</si>
  <si>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</si>
  <si>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</si>
  <si>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</si>
  <si>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</si>
  <si>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</si>
  <si>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</si>
  <si>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</si>
  <si>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</si>
  <si>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</si>
  <si>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</si>
  <si>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</si>
  <si>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</si>
  <si>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</si>
  <si>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</si>
  <si>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</si>
  <si>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</si>
  <si>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</si>
  <si>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</si>
  <si>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</si>
  <si>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</si>
  <si>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</si>
  <si>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</si>
  <si>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</si>
  <si>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</si>
  <si>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</si>
  <si>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</si>
  <si>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</si>
  <si>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</si>
  <si>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</si>
  <si>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</si>
  <si>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</si>
  <si>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</si>
  <si>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</si>
  <si>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</si>
  <si>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</si>
  <si>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</si>
  <si>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</si>
  <si>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</si>
  <si>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</si>
  <si>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</si>
  <si>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</si>
  <si>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</si>
  <si>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</si>
  <si>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</si>
  <si>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</si>
  <si>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</si>
  <si>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</si>
  <si>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</si>
  <si>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</si>
  <si>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</si>
  <si>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</si>
  <si>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</si>
  <si>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</si>
  <si>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</si>
  <si>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</si>
  <si>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</si>
  <si>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</si>
  <si>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</si>
  <si>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</si>
  <si>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</si>
  <si>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</si>
  <si>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</si>
  <si>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</si>
  <si>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</si>
  <si>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</si>
  <si>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</si>
  <si>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</si>
  <si>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</si>
  <si>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</si>
  <si>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</si>
  <si>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</si>
  <si>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</si>
  <si>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</si>
  <si>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</si>
  <si>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</si>
  <si>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</si>
  <si>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</si>
  <si>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</si>
  <si>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</si>
  <si>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</si>
  <si>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</si>
  <si>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</si>
  <si>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</si>
  <si>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</si>
  <si>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</si>
  <si>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</si>
  <si>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</si>
  <si>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</si>
  <si>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</si>
  <si>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</si>
  <si>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</si>
  <si>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</si>
  <si>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</si>
  <si>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</si>
  <si>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</si>
  <si>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</si>
  <si>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</si>
  <si>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</si>
  <si>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</si>
  <si>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</si>
  <si>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</si>
  <si>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</si>
  <si>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</si>
  <si>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</si>
  <si>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</si>
  <si>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</si>
  <si>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</si>
  <si>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</si>
  <si>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</si>
  <si>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</si>
  <si>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</si>
  <si>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</si>
  <si>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</si>
  <si>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</si>
  <si>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</si>
  <si>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</si>
  <si>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</si>
  <si>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</si>
  <si>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</si>
  <si>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</si>
  <si>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</si>
  <si>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</si>
  <si>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</si>
  <si>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</si>
  <si>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</si>
  <si>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</si>
  <si>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</si>
  <si>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</si>
  <si>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</si>
  <si>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</si>
  <si>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</si>
  <si>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</si>
  <si>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</si>
  <si>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</si>
  <si>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</si>
  <si>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</si>
  <si>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</si>
  <si>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</si>
  <si>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</si>
  <si>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</si>
  <si>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</si>
  <si>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</si>
  <si>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</si>
  <si>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</si>
  <si>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</si>
  <si>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</si>
  <si>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</si>
  <si>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</si>
  <si>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</si>
  <si>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</si>
  <si>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</si>
  <si>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</si>
  <si>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</si>
  <si>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</si>
  <si>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</si>
  <si>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</si>
  <si>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</si>
  <si>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</si>
  <si>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</si>
  <si>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</si>
  <si>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</si>
  <si>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</si>
  <si>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</si>
  <si>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</si>
  <si>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</si>
  <si>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</si>
  <si>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</si>
  <si>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</si>
  <si>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</si>
  <si>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</si>
  <si>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</si>
  <si>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</si>
  <si>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</si>
  <si>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</si>
  <si>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</si>
  <si>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</si>
  <si>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</si>
  <si>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</si>
  <si>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</si>
  <si>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</si>
  <si>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</si>
  <si>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</si>
  <si>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</si>
  <si>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</si>
  <si>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</si>
  <si>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</si>
  <si>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</si>
  <si>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</si>
  <si>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</si>
  <si>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</si>
  <si>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</si>
  <si>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</si>
  <si>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</si>
  <si>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</si>
  <si>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</si>
  <si>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</si>
  <si>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</si>
  <si>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</si>
  <si>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</si>
  <si>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</si>
  <si>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</si>
  <si>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</si>
  <si>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</si>
  <si>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</si>
  <si>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</si>
  <si>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</si>
  <si>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</si>
  <si>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</si>
  <si>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</si>
  <si>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</si>
  <si>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</si>
  <si>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</si>
  <si>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</si>
  <si>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</si>
  <si>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</si>
  <si>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</si>
  <si>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</si>
  <si>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</si>
  <si>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</si>
  <si>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</si>
  <si>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</si>
  <si>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</si>
  <si>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</si>
  <si>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</si>
  <si>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</si>
  <si>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</si>
  <si>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</si>
  <si>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</si>
  <si>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</si>
  <si>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</si>
  <si>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</si>
  <si>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</si>
  <si>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</si>
  <si>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</si>
  <si>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</si>
  <si>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</si>
  <si>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</si>
  <si>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</si>
  <si>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</si>
  <si>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</si>
  <si>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</si>
  <si>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</si>
  <si>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</si>
  <si>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</si>
  <si>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</si>
  <si>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</si>
  <si>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</si>
  <si>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</si>
  <si>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</si>
  <si>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</si>
  <si>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</si>
  <si>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</si>
  <si>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</si>
  <si>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</si>
  <si>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</si>
  <si>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</si>
  <si>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</si>
  <si>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</si>
  <si>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</si>
  <si>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</si>
  <si>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</si>
  <si>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</si>
  <si>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</si>
  <si>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</si>
  <si>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</si>
  <si>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</si>
  <si>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</si>
  <si>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</si>
  <si>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</si>
  <si>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</si>
  <si>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</si>
  <si>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</si>
  <si>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</si>
  <si>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</si>
  <si>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</si>
  <si>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</si>
  <si>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</si>
  <si>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</si>
  <si>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</si>
  <si>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</si>
  <si>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</si>
  <si>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</si>
  <si>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</si>
  <si>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</si>
  <si>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</si>
  <si>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</si>
  <si>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</si>
  <si>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</si>
  <si>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</si>
  <si>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</si>
  <si>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</si>
  <si>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</si>
  <si>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</si>
  <si>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</si>
  <si>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</si>
  <si>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</si>
  <si>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</si>
  <si>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</si>
  <si>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</si>
  <si>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</si>
  <si>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</si>
  <si>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</si>
  <si>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</si>
  <si>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</si>
  <si>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</si>
  <si>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</si>
  <si>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</si>
  <si>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</si>
  <si>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</si>
  <si>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</si>
  <si>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</si>
  <si>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</si>
  <si>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</si>
  <si>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</si>
  <si>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</si>
  <si>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</si>
  <si>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</si>
  <si>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</si>
  <si>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</si>
  <si>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</si>
  <si>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</si>
  <si>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</si>
  <si>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</si>
  <si>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</si>
  <si>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</si>
  <si>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</si>
  <si>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</si>
  <si>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</si>
  <si>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</si>
  <si>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</si>
  <si>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</si>
  <si>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</si>
  <si>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</si>
  <si>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</si>
  <si>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</si>
  <si>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</si>
  <si>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</si>
  <si>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</si>
  <si>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</si>
  <si>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</si>
  <si>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</si>
  <si>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</si>
  <si>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</si>
  <si>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</si>
  <si>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</si>
  <si>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</si>
  <si>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</si>
  <si>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</si>
  <si>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</si>
  <si>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</si>
  <si>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</si>
  <si>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</si>
  <si>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</si>
  <si>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</si>
  <si>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</si>
  <si>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</si>
  <si>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</si>
  <si>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</si>
  <si>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</si>
  <si>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</si>
  <si>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</si>
  <si>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</si>
  <si>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</si>
  <si>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</si>
  <si>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</si>
  <si>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</si>
  <si>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</si>
  <si>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</si>
  <si>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</si>
  <si>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</si>
  <si>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</si>
  <si>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</si>
  <si>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</si>
  <si>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</si>
  <si>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</si>
  <si>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</si>
  <si>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</si>
  <si>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</si>
  <si>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</si>
  <si>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</si>
  <si>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</si>
  <si>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</si>
  <si>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</si>
  <si>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</si>
  <si>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</si>
  <si>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</si>
  <si>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</si>
  <si>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</si>
  <si>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</si>
  <si>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</si>
  <si>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</si>
  <si>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</si>
  <si>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</si>
  <si>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</si>
  <si>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</si>
  <si>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</si>
  <si>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</si>
  <si>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</si>
  <si>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</si>
  <si>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</si>
  <si>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</si>
  <si>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</si>
  <si>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</si>
  <si>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</si>
  <si>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</si>
  <si>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</si>
  <si>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</si>
  <si>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</si>
  <si>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</si>
  <si>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</si>
  <si>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</si>
  <si>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</si>
  <si>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</si>
  <si>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</si>
  <si>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</si>
  <si>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</si>
  <si>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</si>
  <si>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</si>
  <si>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</si>
  <si>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</si>
  <si>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</si>
  <si>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</si>
  <si>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</si>
  <si>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</si>
  <si>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</si>
  <si>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</si>
  <si>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</si>
  <si>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</si>
  <si>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</si>
  <si>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</si>
  <si>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</si>
  <si>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</si>
  <si>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</si>
  <si>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</si>
  <si>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</si>
  <si>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</si>
  <si>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</si>
  <si>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</si>
  <si>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</si>
  <si>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</si>
  <si>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</si>
  <si>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</si>
  <si>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</si>
  <si>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</si>
  <si>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</si>
  <si>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</si>
  <si>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</si>
  <si>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</si>
  <si>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</si>
  <si>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</si>
  <si>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</si>
  <si>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</si>
  <si>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</si>
  <si>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</si>
  <si>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</si>
  <si>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</si>
  <si>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</si>
  <si>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</si>
  <si>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</si>
  <si>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</si>
  <si>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</si>
  <si>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</si>
  <si>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</si>
  <si>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</si>
  <si>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</si>
  <si>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</si>
  <si>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</si>
  <si>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</si>
  <si>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</si>
  <si>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</si>
  <si>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</si>
  <si>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</si>
  <si>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</si>
  <si>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</si>
  <si>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</si>
  <si>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</si>
  <si>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</si>
  <si>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</si>
  <si>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</si>
  <si>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</si>
  <si>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</si>
  <si>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</si>
  <si>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</si>
  <si>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</si>
  <si>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</si>
  <si>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</si>
  <si>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</si>
  <si>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</si>
  <si>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</si>
  <si>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</si>
  <si>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</si>
  <si>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</si>
  <si>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</si>
  <si>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</si>
  <si>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</si>
  <si>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</si>
  <si>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</si>
  <si>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</si>
  <si>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</si>
  <si>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</si>
  <si>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</si>
  <si>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</si>
  <si>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</si>
  <si>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</si>
  <si>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</si>
  <si>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</si>
  <si>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</si>
  <si>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</si>
  <si>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</si>
  <si>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</si>
  <si>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</si>
  <si>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</si>
  <si>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</si>
  <si>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</si>
  <si>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</si>
  <si>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</si>
  <si>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</si>
  <si>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</si>
  <si>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</si>
  <si>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</si>
  <si>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</si>
  <si>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</si>
  <si>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</si>
  <si>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</si>
  <si>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</si>
  <si>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</si>
  <si>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</si>
  <si>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</si>
  <si>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</si>
  <si>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</si>
  <si>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</si>
  <si>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</si>
  <si>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</si>
  <si>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</si>
  <si>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</si>
  <si>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</si>
  <si>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</si>
  <si>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</si>
  <si>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</si>
  <si>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</si>
  <si>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</si>
  <si>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</si>
  <si>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</si>
  <si>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</si>
  <si>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</si>
  <si>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</si>
  <si>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</si>
  <si>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</si>
  <si>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</si>
  <si>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</si>
  <si>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</si>
  <si>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</si>
  <si>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</si>
  <si>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</si>
  <si>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</si>
  <si>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</si>
  <si>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</si>
  <si>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</si>
  <si>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</si>
  <si>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</si>
  <si>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</si>
  <si>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</si>
  <si>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</si>
  <si>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</si>
  <si>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</si>
  <si>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</si>
  <si>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</si>
  <si>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</si>
  <si>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</si>
  <si>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</si>
  <si>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</si>
  <si>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</si>
  <si>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</si>
  <si>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</si>
  <si>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</si>
  <si>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</si>
  <si>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</si>
  <si>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</si>
  <si>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</si>
  <si>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</si>
  <si>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</si>
  <si>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</si>
  <si>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</si>
  <si>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</si>
  <si>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</si>
  <si>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</si>
  <si>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</si>
  <si>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</si>
  <si>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</si>
  <si>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</si>
  <si>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</si>
  <si>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</si>
  <si>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</si>
  <si>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</si>
  <si>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</si>
  <si>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</si>
  <si>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</si>
  <si>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</si>
  <si>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</si>
  <si>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</si>
  <si>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</si>
  <si>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</si>
  <si>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</si>
  <si>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</si>
  <si>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</si>
  <si>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</si>
  <si>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</si>
  <si>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</si>
  <si>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</si>
  <si>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</si>
  <si>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</si>
  <si>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</si>
  <si>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</si>
  <si>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</si>
  <si>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</si>
  <si>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</si>
  <si>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</si>
  <si>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</si>
  <si>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</si>
  <si>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</si>
  <si>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</si>
  <si>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</si>
  <si>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</si>
  <si>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</si>
  <si>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</si>
  <si>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</si>
  <si>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</si>
  <si>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</si>
  <si>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</si>
  <si>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</si>
  <si>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</si>
  <si>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</si>
  <si>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</si>
  <si>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</si>
  <si>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</si>
  <si>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</si>
  <si>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</si>
  <si>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</si>
  <si>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</si>
  <si>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</si>
  <si>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</si>
  <si>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</si>
  <si>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</si>
  <si>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</si>
  <si>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</si>
  <si>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</si>
  <si>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</si>
  <si>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</si>
  <si>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</si>
  <si>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</si>
  <si>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</si>
  <si>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</si>
  <si>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</si>
  <si>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</si>
  <si>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</si>
  <si>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</si>
  <si>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</si>
  <si>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</si>
  <si>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</si>
  <si>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</si>
  <si>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</si>
  <si>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</si>
  <si>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</si>
  <si>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</si>
  <si>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</si>
  <si>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</si>
  <si>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</si>
  <si>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</si>
  <si>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</si>
  <si>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</si>
  <si>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</si>
  <si>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</si>
  <si>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</si>
  <si>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</si>
  <si>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</si>
  <si>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</si>
  <si>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</si>
  <si>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</si>
  <si>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</si>
  <si>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</si>
  <si>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</si>
  <si>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</si>
  <si>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</si>
  <si>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</si>
  <si>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</si>
  <si>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</si>
  <si>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</si>
  <si>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</si>
  <si>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</si>
  <si>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</si>
  <si>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</si>
  <si>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</si>
  <si>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</si>
  <si>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</si>
  <si>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</si>
  <si>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</si>
  <si>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</si>
  <si>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</si>
  <si>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</si>
  <si>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</si>
  <si>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</si>
  <si>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</si>
  <si>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</si>
  <si>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</si>
  <si>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</si>
  <si>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</si>
  <si>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</si>
  <si>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</si>
  <si>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</si>
  <si>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</si>
  <si>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</si>
  <si>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</si>
  <si>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</si>
  <si>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</si>
  <si>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</si>
  <si>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</si>
  <si>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</si>
  <si>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</si>
  <si>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</si>
  <si>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</si>
  <si>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</si>
  <si>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</si>
  <si>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</si>
  <si>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</si>
  <si>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</si>
  <si>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</si>
  <si>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</si>
  <si>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</si>
  <si>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</si>
  <si>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</si>
  <si>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</si>
  <si>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</si>
  <si>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</si>
  <si>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</si>
  <si>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</si>
  <si>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</si>
  <si>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</si>
  <si>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</si>
  <si>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</si>
  <si>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</si>
  <si>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</si>
  <si>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</si>
  <si>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</si>
  <si>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</si>
  <si>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</si>
  <si>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</si>
  <si>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</si>
  <si>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</si>
  <si>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</si>
  <si>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</si>
  <si>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</si>
  <si>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</si>
  <si>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</si>
  <si>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</si>
  <si>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</si>
  <si>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</si>
  <si>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</si>
  <si>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</si>
  <si>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</si>
  <si>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</si>
  <si>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</si>
  <si>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</si>
  <si>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</si>
  <si>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</si>
  <si>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</si>
  <si>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</si>
  <si>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</si>
  <si>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</si>
  <si>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</si>
  <si>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</si>
  <si>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</si>
  <si>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</si>
  <si>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</si>
  <si>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</si>
  <si>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</si>
  <si>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</si>
  <si>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</si>
  <si>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</si>
  <si>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</si>
  <si>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</si>
  <si>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</si>
  <si>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</si>
  <si>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</si>
  <si>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</si>
  <si>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</si>
  <si>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</si>
  <si>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</si>
  <si>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</si>
  <si>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</si>
  <si>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</si>
  <si>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</si>
  <si>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</si>
  <si>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</si>
  <si>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</si>
  <si>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</si>
  <si>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</si>
  <si>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</si>
  <si>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</si>
  <si>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</si>
  <si>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</si>
  <si>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</si>
  <si>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</si>
  <si>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</si>
  <si>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</si>
  <si>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</si>
  <si>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</si>
  <si>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</si>
  <si>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</si>
  <si>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</si>
  <si>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</si>
  <si>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</si>
  <si>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</si>
  <si>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</si>
  <si>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</si>
  <si>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</si>
  <si>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</si>
  <si>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</si>
  <si>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</si>
  <si>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</si>
  <si>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</si>
  <si>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</si>
  <si>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</si>
  <si>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</si>
  <si>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</si>
  <si>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</si>
  <si>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</si>
  <si>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</si>
  <si>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</si>
  <si>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</si>
  <si>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</si>
  <si>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</si>
  <si>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</si>
  <si>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</si>
  <si>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</si>
  <si>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</si>
  <si>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</si>
  <si>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</si>
  <si>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</si>
  <si>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</si>
  <si>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</si>
  <si>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</si>
  <si>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</si>
  <si>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</si>
  <si>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</si>
  <si>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</si>
  <si>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</si>
  <si>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</si>
  <si>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</si>
  <si>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</si>
  <si>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</si>
  <si>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</si>
  <si>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</si>
  <si>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</si>
  <si>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</si>
  <si>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</si>
  <si>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</si>
  <si>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</si>
  <si>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</si>
  <si>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</si>
  <si>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</si>
  <si>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</si>
  <si>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</si>
  <si>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</si>
  <si>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</si>
  <si>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</si>
  <si>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</si>
  <si>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</si>
  <si>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</si>
  <si>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</si>
  <si>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</si>
  <si>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</si>
  <si>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</si>
  <si>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</si>
  <si>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</si>
  <si>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</si>
  <si>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</si>
  <si>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</si>
  <si>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</si>
  <si>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</si>
  <si>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</si>
  <si>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</si>
  <si>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</si>
  <si>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</si>
  <si>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</si>
  <si>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</si>
  <si>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</si>
  <si>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</si>
  <si>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</si>
  <si>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</si>
  <si>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</si>
  <si>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</si>
  <si>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</si>
  <si>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</si>
  <si>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</si>
  <si>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</si>
  <si>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</si>
  <si>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</si>
  <si>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</si>
  <si>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</si>
  <si>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</si>
  <si>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</si>
  <si>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</si>
  <si>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</si>
  <si>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</si>
  <si>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</si>
  <si>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</si>
  <si>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</si>
  <si>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</si>
  <si>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</si>
  <si>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</si>
  <si>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</si>
  <si>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</si>
  <si>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</si>
  <si>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</si>
  <si>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</si>
  <si>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</si>
  <si>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</si>
  <si>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</si>
  <si>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</si>
  <si>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</si>
  <si>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</si>
  <si>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</si>
  <si>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</si>
  <si>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</si>
  <si>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</si>
  <si>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</si>
  <si>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</si>
  <si>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</si>
  <si>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</si>
  <si>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</si>
  <si>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</si>
  <si>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</si>
  <si>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</si>
  <si>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</si>
  <si>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</si>
  <si>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</si>
  <si>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</si>
  <si>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</si>
  <si>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</si>
  <si>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</si>
  <si>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</si>
  <si>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</si>
  <si>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</si>
  <si>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</si>
  <si>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</si>
  <si>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</si>
  <si>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</si>
  <si>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</si>
  <si>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</si>
  <si>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</si>
  <si>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</si>
  <si>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</si>
  <si>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</si>
  <si>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</si>
  <si>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</si>
  <si>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</si>
  <si>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</si>
  <si>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</si>
  <si>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</si>
  <si>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</si>
  <si>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</si>
  <si>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</si>
  <si>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</si>
  <si>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</si>
  <si>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</si>
  <si>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</si>
  <si>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</si>
  <si>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</si>
  <si>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</si>
  <si>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</si>
  <si>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</si>
  <si>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</si>
  <si>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</si>
  <si>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</si>
  <si>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</si>
  <si>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</si>
  <si>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</si>
  <si>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</si>
  <si>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</si>
  <si>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</si>
  <si>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</si>
  <si>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</si>
  <si>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</si>
  <si>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</si>
  <si>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</si>
  <si>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</si>
  <si>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</si>
  <si>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</si>
  <si>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</si>
  <si>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</si>
  <si>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</si>
  <si>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</si>
  <si>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</si>
  <si>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</si>
  <si>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</si>
  <si>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</si>
  <si>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</si>
  <si>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</si>
  <si>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</si>
  <si>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</si>
  <si>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</si>
  <si>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</si>
  <si>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</si>
  <si>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</si>
  <si>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</si>
  <si>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</si>
  <si>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</si>
  <si>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</si>
  <si>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</si>
  <si>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</si>
  <si>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</si>
  <si>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</si>
  <si>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</si>
  <si>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</si>
  <si>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</si>
  <si>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</si>
  <si>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</si>
  <si>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</si>
  <si>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</si>
  <si>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</si>
  <si>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</si>
  <si>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</si>
  <si>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</si>
  <si>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</si>
  <si>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</si>
  <si>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</si>
  <si>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</si>
  <si>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</si>
  <si>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</si>
  <si>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</si>
  <si>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</si>
  <si>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</si>
  <si>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</si>
  <si>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</si>
  <si>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</si>
  <si>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</si>
  <si>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</si>
  <si>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</si>
  <si>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</si>
  <si>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</si>
  <si>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</si>
  <si>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</si>
  <si>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</si>
  <si>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</si>
  <si>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</si>
  <si>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</si>
  <si>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</si>
  <si>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</si>
  <si>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</si>
  <si>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</si>
  <si>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</si>
  <si>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</si>
  <si>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</si>
  <si>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</si>
  <si>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</si>
  <si>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</si>
  <si>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</si>
  <si>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</si>
  <si>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</si>
  <si>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</si>
  <si>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</si>
  <si>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</si>
  <si>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</si>
  <si>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</si>
  <si>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</si>
  <si>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</si>
  <si>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</si>
  <si>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</si>
  <si>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</si>
  <si>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</si>
  <si>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</si>
  <si>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</si>
  <si>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</si>
  <si>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</si>
  <si>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</si>
  <si>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</si>
  <si>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</si>
  <si>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</si>
  <si>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</si>
  <si>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</si>
  <si>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</si>
  <si>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</si>
  <si>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</si>
  <si>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</si>
  <si>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</si>
  <si>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</si>
  <si>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</si>
  <si>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</si>
  <si>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</si>
  <si>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</si>
  <si>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</si>
  <si>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</si>
  <si>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</si>
  <si>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</si>
  <si>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</si>
  <si>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</si>
  <si>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</si>
  <si>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</si>
  <si>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</si>
  <si>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</si>
  <si>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</si>
  <si>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</si>
  <si>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</si>
  <si>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</si>
  <si>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</si>
  <si>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</si>
  <si>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</si>
  <si>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</si>
  <si>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</si>
  <si>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</si>
  <si>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</si>
  <si>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</si>
  <si>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</si>
  <si>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</si>
  <si>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</si>
  <si>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</si>
  <si>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</si>
  <si>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</si>
  <si>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</si>
  <si>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</si>
  <si>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</si>
  <si>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</si>
  <si>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</si>
  <si>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</si>
  <si>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</si>
  <si>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</si>
  <si>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</si>
  <si>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</si>
  <si>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</si>
  <si>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</si>
  <si>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</si>
  <si>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</si>
  <si>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</si>
  <si>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</si>
  <si>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</si>
  <si>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</si>
  <si>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</si>
  <si>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</si>
  <si>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</si>
  <si>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</si>
  <si>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</si>
  <si>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</si>
  <si>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</si>
  <si>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</si>
  <si>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</si>
  <si>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</si>
  <si>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</si>
  <si>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</si>
  <si>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</si>
  <si>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</si>
  <si>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</si>
  <si>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</si>
  <si>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</si>
  <si>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</si>
  <si>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</si>
  <si>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</si>
  <si>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</si>
  <si>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</si>
  <si>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</si>
  <si>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</si>
  <si>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</si>
  <si>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</si>
  <si>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</si>
  <si>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</si>
  <si>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</si>
  <si>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</si>
  <si>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</si>
  <si>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</si>
  <si>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</si>
  <si>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</si>
  <si>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</si>
  <si>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</si>
  <si>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</si>
  <si>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</si>
  <si>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</si>
  <si>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</si>
  <si>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</si>
  <si>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</si>
  <si>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</si>
  <si>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</si>
  <si>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</si>
  <si>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</si>
  <si>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</si>
  <si>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</si>
  <si>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</si>
  <si>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</si>
  <si>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</si>
  <si>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</si>
  <si>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</si>
  <si>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</si>
  <si>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</si>
  <si>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</si>
  <si>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</si>
  <si>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</si>
  <si>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</si>
  <si>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</si>
  <si>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</si>
  <si>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</si>
  <si>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</si>
  <si>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</si>
  <si>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</si>
  <si>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</si>
  <si>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</si>
  <si>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</si>
  <si>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</si>
  <si>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</si>
  <si>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</si>
  <si>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</si>
  <si>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</si>
  <si>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</si>
  <si>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</si>
  <si>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</si>
  <si>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</si>
  <si>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</si>
  <si>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</si>
  <si>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</si>
  <si>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</si>
  <si>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</si>
  <si>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</si>
  <si>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</si>
  <si>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</si>
  <si>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</si>
  <si>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</si>
  <si>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</si>
  <si>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</si>
  <si>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</si>
  <si>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</si>
  <si>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</si>
  <si>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</si>
  <si>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</si>
  <si>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</si>
  <si>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</si>
  <si>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</si>
  <si>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</si>
  <si>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</si>
  <si>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</si>
  <si>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</si>
  <si>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</si>
  <si>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</si>
  <si>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</si>
  <si>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</si>
  <si>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</si>
  <si>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</si>
  <si>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</si>
  <si>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</si>
  <si>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</si>
  <si>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</si>
  <si>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</si>
  <si>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</si>
  <si>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</si>
  <si>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</si>
  <si>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</si>
  <si>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</si>
  <si>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</si>
  <si>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</si>
  <si>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</si>
  <si>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</si>
  <si>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</si>
  <si>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</si>
  <si>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</si>
  <si>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</si>
  <si>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</si>
  <si>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</si>
  <si>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</si>
  <si>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</si>
  <si>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</si>
  <si>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</si>
  <si>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</si>
  <si>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</si>
  <si>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</si>
  <si>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</si>
  <si>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</si>
  <si>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</si>
  <si>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</si>
  <si>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</si>
  <si>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</si>
  <si>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</si>
  <si>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</si>
  <si>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</si>
  <si>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</si>
  <si>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</si>
  <si>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</si>
  <si>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</si>
  <si>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</si>
  <si>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</si>
  <si>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</si>
  <si>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</si>
  <si>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</si>
  <si>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</si>
  <si>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</si>
  <si>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</si>
  <si>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</si>
  <si>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</si>
  <si>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</si>
  <si>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</si>
  <si>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</si>
  <si>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</si>
  <si>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</si>
  <si>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</si>
  <si>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</si>
  <si>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</si>
  <si>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</si>
  <si>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</si>
  <si>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</si>
  <si>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</si>
  <si>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</si>
  <si>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</si>
  <si>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</si>
  <si>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</si>
  <si>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</si>
  <si>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</si>
  <si>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</si>
  <si>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</si>
  <si>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</si>
  <si>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</si>
  <si>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</si>
  <si>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</si>
  <si>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</si>
  <si>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</si>
  <si>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</si>
  <si>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</si>
  <si>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</si>
  <si>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</si>
  <si>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</si>
  <si>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</si>
  <si>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</si>
  <si>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</si>
  <si>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</si>
  <si>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</si>
  <si>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</si>
  <si>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</si>
  <si>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</si>
  <si>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</si>
  <si>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</si>
  <si>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</si>
  <si>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</si>
  <si>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</si>
  <si>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</si>
  <si>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</si>
  <si>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</si>
  <si>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</si>
  <si>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</si>
  <si>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</si>
  <si>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</si>
  <si>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</si>
  <si>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</si>
  <si>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</si>
  <si>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</si>
  <si>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</si>
  <si>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</si>
  <si>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</si>
  <si>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</si>
  <si>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</si>
  <si>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</si>
  <si>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</si>
  <si>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</si>
  <si>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</si>
  <si>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</si>
  <si>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</si>
  <si>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</si>
  <si>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</si>
  <si>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</si>
  <si>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</si>
  <si>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</si>
  <si>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</si>
  <si>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</si>
  <si>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</si>
  <si>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</si>
  <si>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</si>
  <si>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</si>
  <si>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</si>
  <si>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</si>
  <si>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</si>
  <si>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</si>
  <si>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</si>
  <si>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</si>
  <si>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</si>
  <si>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</si>
  <si>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</si>
  <si>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</si>
  <si>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</si>
  <si>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</si>
  <si>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</si>
  <si>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</si>
  <si>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</si>
  <si>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</si>
  <si>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</si>
  <si>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</si>
  <si>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</si>
  <si>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</si>
  <si>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</si>
  <si>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</si>
  <si>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</si>
  <si>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</si>
  <si>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</si>
  <si>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</si>
  <si>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</si>
  <si>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</si>
  <si>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</si>
  <si>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</si>
  <si>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</si>
  <si>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</si>
  <si>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</si>
  <si>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</si>
  <si>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</si>
  <si>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</si>
  <si>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</si>
  <si>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</si>
  <si>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</si>
  <si>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</si>
  <si>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</si>
  <si>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</si>
  <si>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</si>
  <si>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</si>
  <si>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</si>
  <si>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</si>
  <si>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</si>
  <si>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</si>
  <si>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</si>
  <si>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</si>
  <si>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</si>
  <si>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</si>
  <si>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</si>
  <si>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</si>
  <si>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</si>
  <si>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</si>
  <si>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</si>
  <si>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</si>
  <si>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</si>
  <si>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</si>
  <si>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</si>
  <si>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</si>
  <si>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</si>
  <si>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</si>
  <si>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</si>
  <si>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</si>
  <si>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</si>
  <si>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</si>
  <si>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</si>
  <si>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</si>
  <si>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</si>
  <si>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</si>
  <si>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</si>
  <si>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</si>
  <si>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</si>
  <si>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</si>
  <si>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</si>
  <si>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</si>
  <si>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</si>
  <si>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</si>
  <si>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</si>
  <si>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</si>
  <si>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</si>
  <si>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</si>
  <si>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</si>
  <si>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</si>
  <si>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</si>
  <si>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</si>
  <si>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</si>
  <si>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</si>
  <si>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</si>
  <si>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</si>
  <si>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</si>
  <si>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</si>
  <si>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</si>
  <si>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</si>
  <si>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</si>
  <si>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</si>
  <si>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</si>
  <si>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</si>
  <si>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</si>
  <si>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</si>
  <si>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</si>
  <si>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</si>
  <si>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</si>
  <si>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</si>
  <si>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</si>
  <si>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</si>
  <si>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</si>
  <si>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</si>
  <si>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</si>
  <si>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</si>
  <si>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</si>
  <si>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</si>
  <si>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</si>
  <si>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</si>
  <si>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</si>
  <si>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</si>
  <si>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</si>
  <si>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</si>
  <si>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</si>
  <si>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</si>
  <si>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</si>
  <si>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</si>
  <si>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</si>
  <si>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</si>
  <si>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</si>
  <si>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</si>
  <si>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</si>
  <si>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</si>
  <si>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</si>
  <si>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</si>
  <si>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</si>
  <si>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</si>
  <si>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</si>
  <si>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</si>
  <si>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</si>
  <si>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</si>
  <si>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</si>
  <si>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</si>
  <si>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</si>
  <si>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</si>
  <si>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</si>
  <si>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</si>
  <si>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</si>
  <si>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</si>
  <si>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</si>
  <si>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</si>
  <si>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</si>
  <si>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</si>
  <si>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</si>
  <si>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</si>
  <si>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</si>
  <si>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</si>
  <si>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</si>
  <si>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</si>
  <si>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</si>
  <si>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</si>
  <si>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</si>
  <si>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</si>
  <si>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</si>
  <si>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</si>
  <si>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</si>
  <si>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</si>
  <si>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</si>
  <si>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</si>
  <si>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</si>
  <si>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</si>
  <si>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</si>
  <si>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</si>
  <si>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</si>
  <si>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</si>
  <si>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</si>
  <si>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</si>
  <si>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</si>
  <si>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</si>
  <si>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</si>
  <si>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</si>
  <si>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</si>
  <si>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</si>
  <si>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</si>
  <si>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</si>
  <si>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</si>
  <si>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</si>
  <si>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</si>
  <si>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</si>
  <si>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</si>
  <si>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</si>
  <si>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</si>
  <si>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</si>
  <si>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</si>
  <si>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</si>
  <si>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</si>
  <si>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</si>
  <si>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</si>
  <si>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</si>
  <si>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</si>
  <si>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</si>
  <si>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</si>
  <si>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</si>
  <si>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</si>
  <si>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</si>
  <si>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</si>
  <si>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</si>
  <si>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</si>
  <si>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</si>
  <si>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</si>
  <si>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</si>
  <si>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</si>
  <si>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</si>
  <si>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</si>
  <si>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</si>
  <si>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</si>
  <si>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</si>
  <si>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</si>
  <si>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</si>
  <si>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</si>
  <si>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</si>
  <si>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</si>
  <si>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</si>
  <si>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</si>
  <si>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</si>
  <si>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</si>
  <si>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</si>
  <si>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</si>
  <si>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</si>
  <si>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</si>
  <si>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</si>
  <si>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</si>
  <si>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</si>
  <si>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</si>
  <si>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</si>
  <si>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</si>
  <si>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</si>
  <si>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</si>
  <si>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</si>
  <si>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</si>
  <si>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</si>
  <si>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</si>
  <si>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</si>
  <si>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</si>
  <si>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</si>
  <si>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</si>
  <si>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</si>
  <si>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</si>
  <si>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</si>
  <si>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</si>
  <si>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</si>
  <si>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</si>
  <si>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</si>
  <si>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</si>
  <si>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</si>
  <si>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</si>
  <si>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</si>
  <si>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</si>
  <si>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</si>
  <si>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</si>
  <si>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</si>
  <si>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</si>
  <si>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</si>
  <si>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</si>
  <si>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</si>
  <si>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</si>
  <si>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</si>
  <si>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</si>
  <si>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</si>
  <si>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</si>
  <si>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</si>
  <si>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</si>
  <si>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</si>
  <si>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</si>
  <si>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</si>
  <si>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</si>
  <si>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</si>
  <si>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</si>
  <si>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</si>
  <si>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</si>
  <si>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</si>
  <si>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</si>
  <si>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</si>
  <si>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</si>
  <si>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</si>
  <si>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</si>
  <si>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</si>
  <si>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</si>
  <si>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</si>
  <si>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</si>
  <si>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</si>
  <si>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</si>
  <si>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</si>
  <si>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</si>
  <si>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</si>
  <si>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</si>
  <si>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</si>
  <si>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</si>
  <si>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</si>
  <si>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</si>
  <si>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</si>
  <si>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</si>
  <si>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</si>
  <si>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</si>
  <si>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</si>
  <si>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</si>
  <si>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</si>
  <si>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</si>
  <si>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</si>
  <si>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</si>
  <si>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</si>
  <si>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</si>
  <si>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</si>
  <si>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</si>
  <si>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</si>
  <si>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</si>
  <si>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</si>
  <si>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</si>
  <si>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</si>
  <si>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</si>
  <si>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</si>
  <si>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</si>
  <si>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</si>
  <si>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</si>
  <si>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</si>
  <si>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</si>
  <si>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</si>
  <si>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</si>
  <si>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</si>
  <si>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</si>
  <si>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</si>
  <si>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</si>
  <si>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</si>
  <si>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</si>
  <si>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</si>
  <si>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</si>
  <si>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</si>
  <si>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</si>
  <si>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</si>
  <si>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</si>
  <si>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</si>
  <si>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</si>
  <si>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</si>
  <si>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</si>
  <si>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</si>
  <si>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</si>
  <si>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</si>
  <si>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</si>
  <si>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</si>
  <si>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</si>
  <si>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</si>
  <si>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</si>
  <si>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</si>
  <si>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</si>
  <si>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</si>
  <si>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</si>
  <si>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</si>
  <si>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</si>
  <si>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</si>
  <si>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</si>
  <si>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</si>
  <si>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</si>
  <si>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</si>
  <si>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</si>
  <si>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</si>
  <si>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</si>
  <si>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</si>
  <si>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</si>
  <si>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</si>
  <si>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</si>
  <si>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</si>
  <si>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</si>
  <si>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</si>
  <si>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</si>
  <si>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</si>
  <si>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</si>
  <si>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</si>
  <si>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</si>
  <si>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</si>
  <si>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</si>
  <si>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</si>
  <si>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</si>
  <si>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</si>
  <si>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</si>
  <si>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</si>
  <si>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</si>
  <si>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</si>
  <si>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</si>
  <si>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</si>
  <si>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</si>
  <si>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</si>
  <si>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</si>
  <si>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</si>
  <si>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</si>
  <si>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</si>
  <si>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</si>
  <si>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</si>
  <si>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</si>
  <si>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</si>
  <si>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</si>
  <si>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</si>
  <si>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</si>
  <si>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</si>
  <si>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</si>
  <si>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</si>
  <si>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</si>
  <si>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</si>
  <si>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</si>
  <si>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</si>
  <si>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</si>
  <si>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</si>
  <si>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</si>
  <si>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</si>
  <si>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</si>
  <si>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</si>
  <si>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</si>
  <si>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</si>
  <si>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</si>
  <si>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</si>
  <si>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</si>
  <si>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</si>
  <si>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</si>
  <si>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</si>
  <si>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</si>
  <si>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</si>
  <si>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</si>
  <si>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</si>
  <si>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</si>
  <si>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</si>
  <si>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</si>
  <si>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</si>
  <si>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</si>
  <si>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</si>
  <si>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</si>
  <si>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</si>
  <si>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</si>
  <si>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</si>
  <si>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</si>
  <si>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</si>
  <si>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</si>
  <si>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</si>
  <si>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</si>
  <si>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</si>
  <si>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</si>
  <si>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</si>
  <si>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</si>
  <si>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</si>
  <si>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</si>
  <si>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</si>
  <si>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</si>
  <si>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</si>
  <si>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</si>
  <si>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</si>
  <si>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</si>
  <si>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</si>
  <si>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</si>
  <si>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</si>
  <si>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</si>
  <si>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</si>
  <si>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</si>
  <si>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</si>
  <si>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</si>
  <si>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</si>
  <si>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</si>
  <si>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</si>
  <si>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</si>
  <si>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</si>
  <si>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</si>
  <si>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</si>
  <si>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</si>
  <si>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</si>
  <si>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</si>
  <si>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</si>
  <si>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</si>
  <si>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</si>
  <si>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</si>
  <si>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</si>
  <si>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</si>
  <si>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</si>
  <si>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</si>
  <si>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</si>
  <si>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</si>
  <si>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</si>
  <si>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</si>
  <si>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</si>
  <si>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</si>
  <si>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</si>
  <si>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</si>
  <si>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</si>
  <si>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</si>
  <si>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</si>
  <si>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</si>
  <si>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</si>
  <si>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</si>
  <si>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</si>
  <si>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</si>
  <si>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</si>
  <si>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</si>
  <si>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</si>
  <si>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</si>
  <si>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</si>
  <si>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</si>
  <si>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</si>
  <si>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</si>
  <si>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</si>
  <si>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</si>
  <si>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</si>
  <si>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</si>
  <si>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</si>
  <si>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</si>
  <si>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</si>
  <si>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</si>
  <si>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</si>
  <si>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</si>
  <si>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</si>
  <si>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</si>
  <si>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</si>
  <si>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</si>
  <si>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</si>
  <si>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</si>
  <si>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</si>
  <si>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</si>
  <si>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</si>
  <si>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</si>
  <si>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</si>
  <si>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</si>
  <si>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</si>
  <si>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</si>
  <si>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</si>
  <si>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</si>
  <si>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</si>
  <si>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</si>
  <si>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</si>
  <si>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</si>
  <si>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</si>
  <si>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</si>
  <si>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</si>
  <si>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</si>
  <si>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</si>
  <si>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</si>
  <si>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</si>
  <si>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</si>
  <si>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</si>
  <si>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</si>
  <si>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</si>
  <si>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</si>
  <si>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</si>
  <si>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</si>
  <si>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</si>
  <si>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</si>
  <si>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</si>
  <si>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</si>
  <si>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</si>
  <si>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</si>
  <si>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</si>
  <si>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</si>
  <si>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</si>
  <si>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</si>
  <si>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</si>
  <si>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</si>
  <si>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</si>
  <si>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</si>
  <si>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</si>
  <si>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</si>
  <si>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</si>
  <si>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</si>
  <si>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</si>
  <si>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</si>
  <si>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</si>
  <si>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</si>
  <si>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</si>
  <si>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</si>
  <si>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</si>
  <si>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</si>
  <si>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</si>
  <si>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</si>
  <si>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</si>
  <si>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</si>
  <si>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</si>
  <si>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</si>
  <si>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</si>
  <si>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</si>
  <si>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</si>
  <si>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</si>
  <si>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</si>
  <si>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</si>
  <si>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</si>
  <si>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</si>
  <si>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</si>
  <si>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</si>
  <si>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</si>
  <si>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</si>
  <si>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</si>
  <si>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</si>
  <si>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</si>
  <si>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</si>
  <si>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</si>
  <si>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</si>
  <si>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</si>
  <si>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</si>
  <si>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</si>
  <si>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</si>
  <si>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</si>
  <si>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</si>
  <si>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</si>
  <si>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</si>
  <si>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</si>
  <si>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</si>
  <si>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</si>
  <si>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</si>
  <si>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</si>
  <si>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</si>
  <si>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</si>
  <si>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</si>
  <si>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</si>
  <si>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</si>
  <si>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</si>
  <si>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</si>
  <si>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</si>
  <si>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</si>
  <si>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</si>
  <si>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</si>
  <si>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</si>
  <si>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</si>
  <si>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</si>
  <si>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IIEE-SJ - 1</t>
  </si>
  <si>
    <t>INDEC-DCTO - Inciso p)</t>
  </si>
  <si>
    <t>Construcción de Base Estabilizada Granular</t>
  </si>
  <si>
    <t>Cumplimiento Manejo Ambiental</t>
  </si>
  <si>
    <t>Movilización de Obra</t>
  </si>
  <si>
    <t>Km.</t>
  </si>
  <si>
    <t>CALLE GORRITI SUR - CALLE BELGRANO</t>
  </si>
  <si>
    <t>180 días corridos</t>
  </si>
  <si>
    <t>Desbosque, destronque y limpieza del terreno</t>
  </si>
  <si>
    <t>Un.</t>
  </si>
  <si>
    <t>Construcción de Subbase Estabilizada Granular</t>
  </si>
  <si>
    <t>Excavación No Clasificada</t>
  </si>
  <si>
    <t>7.1</t>
  </si>
  <si>
    <t>7.2</t>
  </si>
  <si>
    <t>Extracción de Arboles  y Tocones (diam.&gt;0,60 m y &lt;1,00 m)</t>
  </si>
  <si>
    <t xml:space="preserve">Movilidad Para el Personal de la Dirección Provincial de Vialidad </t>
  </si>
  <si>
    <t>B)- Adicional por Km.</t>
  </si>
  <si>
    <t>A) - Cuota Mensual</t>
  </si>
  <si>
    <t>OBRA BÁSICA Y PAVIMENTACIÓN CALLE GÜEMES</t>
  </si>
  <si>
    <t>Rawson - Santa Lucia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</si>
</sst>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8"/>
      <name val="Arial"/>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9">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8" fontId="8" fillId="0" borderId="8" xfId="0" applyNumberFormat="1" applyFont="1" applyBorder="1" applyAlignment="1">
      <alignment vertical="center"/>
    </xf>
    <xf numFmtId="169"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8" fontId="12" fillId="0" borderId="8" xfId="0" applyNumberFormat="1" applyFont="1" applyBorder="1" applyAlignment="1">
      <alignment vertical="center"/>
    </xf>
    <xf numFmtId="181"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Border="1" applyAlignment="1" applyProtection="1">
      <alignment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Border="1" applyAlignment="1">
      <alignment horizontal="left" vertical="center"/>
    </xf>
    <xf numFmtId="0" fontId="12" fillId="0" borderId="5" xfId="0" applyFont="1" applyBorder="1" applyAlignment="1">
      <alignment horizontal="left" vertical="center" wrapText="1"/>
    </xf>
    <xf numFmtId="9" fontId="0" fillId="0" borderId="0" xfId="0" applyNumberFormat="1"/>
    <xf numFmtId="0" fontId="0" fillId="5" borderId="15" xfId="0" applyFill="1" applyBorder="1"/>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90" customWidth="1"/>
    <col min="2" max="16384" width="11.42578125" style="590"/>
  </cols>
  <sheetData>
    <row r="1" spans="1:7" ht="30" customHeight="1" x14ac:dyDescent="0.2">
      <c r="A1" s="593" t="s">
        <v>946</v>
      </c>
    </row>
    <row r="2" spans="1:7" ht="165" x14ac:dyDescent="0.2">
      <c r="A2" s="591" t="s">
        <v>2060</v>
      </c>
    </row>
    <row r="3" spans="1:7" ht="30" customHeight="1" x14ac:dyDescent="0.2">
      <c r="A3" s="593" t="s">
        <v>947</v>
      </c>
    </row>
    <row r="4" spans="1:7" ht="30" customHeight="1" x14ac:dyDescent="0.2">
      <c r="A4" s="593" t="s">
        <v>966</v>
      </c>
    </row>
    <row r="5" spans="1:7" ht="195" x14ac:dyDescent="0.2">
      <c r="A5" s="596" t="s">
        <v>2061</v>
      </c>
    </row>
    <row r="6" spans="1:7" ht="105.75" x14ac:dyDescent="0.2">
      <c r="A6" s="596" t="s">
        <v>2059</v>
      </c>
      <c r="B6" s="594"/>
      <c r="C6" s="594"/>
      <c r="D6" s="594"/>
      <c r="E6" s="594"/>
      <c r="F6" s="594"/>
      <c r="G6" s="594"/>
    </row>
    <row r="7" spans="1:7" ht="60" x14ac:dyDescent="0.2">
      <c r="A7" s="596" t="s">
        <v>2058</v>
      </c>
      <c r="B7" s="594"/>
      <c r="C7" s="594"/>
      <c r="D7" s="594"/>
      <c r="E7" s="594"/>
      <c r="F7" s="594"/>
      <c r="G7" s="594"/>
    </row>
    <row r="8" spans="1:7" ht="165" x14ac:dyDescent="0.2">
      <c r="A8" s="596" t="s">
        <v>2062</v>
      </c>
      <c r="B8" s="594"/>
      <c r="C8" s="594"/>
      <c r="D8" s="594"/>
      <c r="E8" s="594"/>
      <c r="F8" s="594"/>
      <c r="G8" s="594"/>
    </row>
    <row r="9" spans="1:7" ht="15" x14ac:dyDescent="0.2">
      <c r="A9" s="591" t="s">
        <v>967</v>
      </c>
      <c r="B9" s="594"/>
      <c r="C9" s="594"/>
      <c r="D9" s="594"/>
      <c r="E9" s="594"/>
      <c r="F9" s="594"/>
      <c r="G9" s="594"/>
    </row>
    <row r="10" spans="1:7" ht="45" customHeight="1" x14ac:dyDescent="0.2">
      <c r="A10" s="591" t="s">
        <v>968</v>
      </c>
      <c r="B10" s="594"/>
      <c r="C10" s="594"/>
      <c r="D10" s="594"/>
      <c r="E10" s="594"/>
      <c r="F10" s="594"/>
      <c r="G10" s="594"/>
    </row>
    <row r="11" spans="1:7" ht="30" x14ac:dyDescent="0.2">
      <c r="A11" s="591" t="s">
        <v>970</v>
      </c>
      <c r="B11" s="594" t="s">
        <v>3</v>
      </c>
      <c r="C11" s="594"/>
      <c r="D11" s="594"/>
      <c r="E11" s="594"/>
      <c r="F11" s="594"/>
      <c r="G11" s="594"/>
    </row>
    <row r="12" spans="1:7" ht="15" x14ac:dyDescent="0.2">
      <c r="A12" s="591" t="s">
        <v>2057</v>
      </c>
      <c r="B12" s="594"/>
      <c r="C12" s="594"/>
      <c r="D12" s="594"/>
      <c r="E12" s="594"/>
      <c r="F12" s="594"/>
      <c r="G12" s="594"/>
    </row>
    <row r="13" spans="1:7" ht="47.25" x14ac:dyDescent="0.2">
      <c r="A13" s="595" t="s">
        <v>2056</v>
      </c>
      <c r="B13" s="594"/>
      <c r="C13" s="594"/>
      <c r="D13" s="594"/>
      <c r="E13" s="594"/>
      <c r="F13" s="594"/>
      <c r="G13" s="594"/>
    </row>
    <row r="14" spans="1:7" ht="30" customHeight="1" x14ac:dyDescent="0.2">
      <c r="A14" s="593" t="s">
        <v>976</v>
      </c>
    </row>
    <row r="15" spans="1:7" ht="150" x14ac:dyDescent="0.2">
      <c r="A15" s="591" t="s">
        <v>2067</v>
      </c>
    </row>
    <row r="16" spans="1:7" ht="45" customHeight="1" x14ac:dyDescent="0.2">
      <c r="A16" s="591" t="s">
        <v>2055</v>
      </c>
      <c r="B16" s="594"/>
      <c r="C16" s="594"/>
      <c r="D16" s="594"/>
      <c r="E16" s="594"/>
      <c r="F16" s="594"/>
      <c r="G16" s="594"/>
    </row>
    <row r="17" spans="1:7" ht="30" customHeight="1" x14ac:dyDescent="0.2">
      <c r="A17" s="593" t="s">
        <v>948</v>
      </c>
    </row>
    <row r="18" spans="1:7" ht="45" customHeight="1" x14ac:dyDescent="0.2">
      <c r="A18" s="591" t="s">
        <v>2054</v>
      </c>
      <c r="B18" s="594"/>
      <c r="C18" s="594"/>
      <c r="D18" s="594"/>
      <c r="E18" s="594"/>
      <c r="F18" s="594"/>
      <c r="G18" s="594"/>
    </row>
    <row r="19" spans="1:7" ht="45" customHeight="1" x14ac:dyDescent="0.2">
      <c r="A19" s="591" t="s">
        <v>971</v>
      </c>
      <c r="B19" s="594"/>
      <c r="C19" s="594"/>
      <c r="D19" s="594"/>
      <c r="E19" s="594"/>
      <c r="F19" s="594"/>
      <c r="G19" s="594"/>
    </row>
    <row r="20" spans="1:7" ht="45" customHeight="1" x14ac:dyDescent="0.2">
      <c r="A20" s="591" t="s">
        <v>2053</v>
      </c>
      <c r="B20" s="594"/>
      <c r="C20" s="594"/>
      <c r="D20" s="594"/>
      <c r="E20" s="594"/>
      <c r="F20" s="594"/>
      <c r="G20" s="594"/>
    </row>
    <row r="21" spans="1:7" ht="30" x14ac:dyDescent="0.2">
      <c r="A21" s="591" t="s">
        <v>969</v>
      </c>
      <c r="B21" s="594"/>
      <c r="C21" s="594"/>
      <c r="D21" s="594"/>
      <c r="E21" s="594"/>
      <c r="F21" s="594"/>
      <c r="G21" s="594"/>
    </row>
    <row r="22" spans="1:7" ht="15" x14ac:dyDescent="0.2">
      <c r="A22" s="591"/>
      <c r="B22" s="594"/>
      <c r="C22" s="594"/>
      <c r="D22" s="594"/>
      <c r="E22" s="594"/>
      <c r="F22" s="594"/>
      <c r="G22" s="594"/>
    </row>
    <row r="23" spans="1:7" ht="30" customHeight="1" x14ac:dyDescent="0.2">
      <c r="A23" s="593" t="s">
        <v>949</v>
      </c>
    </row>
    <row r="24" spans="1:7" ht="45" x14ac:dyDescent="0.2">
      <c r="A24" s="591" t="s">
        <v>2052</v>
      </c>
      <c r="B24" s="594"/>
      <c r="C24" s="594"/>
      <c r="D24" s="594"/>
      <c r="E24" s="594"/>
      <c r="F24" s="594"/>
      <c r="G24" s="594"/>
    </row>
    <row r="25" spans="1:7" ht="15" x14ac:dyDescent="0.2">
      <c r="A25" s="591" t="s">
        <v>972</v>
      </c>
      <c r="B25" s="594"/>
      <c r="C25" s="594"/>
      <c r="D25" s="594"/>
      <c r="E25" s="594"/>
      <c r="F25" s="594"/>
      <c r="G25" s="594"/>
    </row>
    <row r="26" spans="1:7" ht="30" x14ac:dyDescent="0.2">
      <c r="A26" s="591" t="s">
        <v>2051</v>
      </c>
      <c r="B26" s="594"/>
      <c r="C26" s="594"/>
      <c r="D26" s="594"/>
      <c r="E26" s="594"/>
      <c r="F26" s="594"/>
      <c r="G26" s="594"/>
    </row>
    <row r="27" spans="1:7" ht="30" x14ac:dyDescent="0.2">
      <c r="A27" s="591" t="s">
        <v>2050</v>
      </c>
      <c r="B27" s="594"/>
      <c r="C27" s="594"/>
      <c r="D27" s="594"/>
      <c r="E27" s="594"/>
      <c r="F27" s="594"/>
      <c r="G27" s="594"/>
    </row>
    <row r="28" spans="1:7" ht="30" x14ac:dyDescent="0.2">
      <c r="A28" s="591" t="s">
        <v>2049</v>
      </c>
    </row>
    <row r="29" spans="1:7" ht="45" x14ac:dyDescent="0.2">
      <c r="A29" s="591" t="s">
        <v>978</v>
      </c>
    </row>
    <row r="30" spans="1:7" ht="31.5" x14ac:dyDescent="0.2">
      <c r="A30" s="591" t="s">
        <v>2068</v>
      </c>
    </row>
    <row r="31" spans="1:7" ht="135.75" x14ac:dyDescent="0.2">
      <c r="A31" s="591" t="s">
        <v>2048</v>
      </c>
    </row>
    <row r="32" spans="1:7" ht="30" customHeight="1" x14ac:dyDescent="0.2">
      <c r="A32" s="593" t="s">
        <v>950</v>
      </c>
    </row>
    <row r="33" spans="1:7" ht="45" x14ac:dyDescent="0.2">
      <c r="A33" s="591" t="s">
        <v>2047</v>
      </c>
    </row>
    <row r="34" spans="1:7" ht="150" x14ac:dyDescent="0.2">
      <c r="A34" s="591" t="s">
        <v>2046</v>
      </c>
    </row>
    <row r="35" spans="1:7" ht="120" x14ac:dyDescent="0.2">
      <c r="A35" s="591" t="s">
        <v>979</v>
      </c>
    </row>
    <row r="36" spans="1:7" ht="44.25" customHeight="1" x14ac:dyDescent="0.2">
      <c r="A36" s="591" t="s">
        <v>951</v>
      </c>
    </row>
    <row r="37" spans="1:7" ht="15" x14ac:dyDescent="0.2">
      <c r="A37" s="591" t="s">
        <v>2045</v>
      </c>
    </row>
    <row r="38" spans="1:7" ht="30" customHeight="1" x14ac:dyDescent="0.2">
      <c r="A38" s="593" t="s">
        <v>952</v>
      </c>
    </row>
    <row r="39" spans="1:7" ht="45" x14ac:dyDescent="0.2">
      <c r="A39" s="591" t="s">
        <v>973</v>
      </c>
      <c r="B39" s="594"/>
      <c r="C39" s="594"/>
      <c r="D39" s="594"/>
      <c r="E39" s="594"/>
      <c r="F39" s="594"/>
      <c r="G39" s="594"/>
    </row>
    <row r="40" spans="1:7" ht="30" x14ac:dyDescent="0.2">
      <c r="A40" s="591" t="s">
        <v>980</v>
      </c>
    </row>
    <row r="41" spans="1:7" ht="30" x14ac:dyDescent="0.2">
      <c r="A41" s="591" t="s">
        <v>981</v>
      </c>
    </row>
    <row r="42" spans="1:7" ht="15" x14ac:dyDescent="0.2">
      <c r="A42" s="591"/>
    </row>
    <row r="43" spans="1:7" ht="15.75" x14ac:dyDescent="0.2">
      <c r="A43" s="593" t="s">
        <v>953</v>
      </c>
    </row>
    <row r="44" spans="1:7" ht="45" x14ac:dyDescent="0.2">
      <c r="A44" s="591" t="s">
        <v>954</v>
      </c>
    </row>
    <row r="46" spans="1:7" ht="30" customHeight="1" x14ac:dyDescent="0.2">
      <c r="A46" s="593" t="s">
        <v>974</v>
      </c>
    </row>
    <row r="47" spans="1:7" ht="45" x14ac:dyDescent="0.2">
      <c r="A47" s="591" t="s">
        <v>975</v>
      </c>
    </row>
    <row r="48" spans="1:7" ht="30" x14ac:dyDescent="0.2">
      <c r="A48" s="591" t="s">
        <v>977</v>
      </c>
    </row>
    <row r="49" spans="1:1" ht="25.5" x14ac:dyDescent="0.2">
      <c r="A49" s="592" t="s">
        <v>2044</v>
      </c>
    </row>
    <row r="50" spans="1:1" ht="15" x14ac:dyDescent="0.2">
      <c r="A50" s="591"/>
    </row>
    <row r="51" spans="1:1" ht="30" customHeight="1" x14ac:dyDescent="0.2">
      <c r="A51" s="593" t="s">
        <v>2069</v>
      </c>
    </row>
    <row r="52" spans="1:1" ht="30" x14ac:dyDescent="0.2">
      <c r="A52" s="591"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7" customWidth="1"/>
    <col min="2" max="2" width="15.85546875" style="607" customWidth="1"/>
    <col min="3" max="4" width="13.85546875" style="607" customWidth="1"/>
    <col min="5" max="5" width="15.140625" style="607" customWidth="1"/>
    <col min="6" max="9" width="13.85546875" style="607" customWidth="1"/>
    <col min="10" max="10" width="16.7109375" style="607" customWidth="1"/>
    <col min="11" max="11" width="13.85546875" style="607" customWidth="1"/>
    <col min="12" max="14" width="11.42578125" style="607"/>
    <col min="15" max="15" width="49.85546875" style="607" bestFit="1" customWidth="1"/>
    <col min="16" max="16384" width="11.42578125" style="607"/>
  </cols>
  <sheetData>
    <row r="1" spans="1:17" x14ac:dyDescent="0.2">
      <c r="A1" s="607" t="s">
        <v>2074</v>
      </c>
    </row>
    <row r="2" spans="1:17" x14ac:dyDescent="0.2">
      <c r="A2" s="607" t="s">
        <v>2073</v>
      </c>
    </row>
    <row r="3" spans="1:17" x14ac:dyDescent="0.2">
      <c r="A3" s="607" t="s">
        <v>2071</v>
      </c>
    </row>
    <row r="4" spans="1:17" x14ac:dyDescent="0.2">
      <c r="A4" s="607" t="s">
        <v>2072</v>
      </c>
    </row>
    <row r="6" spans="1:17" ht="15.75" x14ac:dyDescent="0.25">
      <c r="A6" s="761" t="s">
        <v>1816</v>
      </c>
      <c r="B6" s="761"/>
      <c r="C6" s="761"/>
      <c r="D6" s="761"/>
      <c r="E6" s="761"/>
      <c r="F6" s="761"/>
      <c r="G6" s="761"/>
      <c r="H6" s="761"/>
      <c r="I6" s="761"/>
      <c r="J6" s="761"/>
      <c r="K6" s="761"/>
      <c r="O6" s="607" t="s">
        <v>1836</v>
      </c>
      <c r="P6" s="607">
        <v>140</v>
      </c>
      <c r="Q6" s="607">
        <v>900000</v>
      </c>
    </row>
    <row r="7" spans="1:17" x14ac:dyDescent="0.2">
      <c r="O7" s="607" t="s">
        <v>1837</v>
      </c>
      <c r="P7" s="607">
        <v>140</v>
      </c>
      <c r="Q7" s="607">
        <v>1260000</v>
      </c>
    </row>
    <row r="8" spans="1:17" s="590" customFormat="1" ht="38.25" x14ac:dyDescent="0.2">
      <c r="A8" s="602" t="s">
        <v>1817</v>
      </c>
      <c r="B8" s="602" t="s">
        <v>1818</v>
      </c>
      <c r="C8" s="602" t="s">
        <v>1819</v>
      </c>
      <c r="D8" s="602" t="s">
        <v>1820</v>
      </c>
      <c r="E8" s="602" t="s">
        <v>1827</v>
      </c>
      <c r="F8" s="602" t="s">
        <v>1821</v>
      </c>
      <c r="G8" s="602" t="s">
        <v>1822</v>
      </c>
      <c r="H8" s="602" t="s">
        <v>1823</v>
      </c>
      <c r="I8" s="602" t="s">
        <v>1824</v>
      </c>
      <c r="J8" s="602" t="s">
        <v>1825</v>
      </c>
      <c r="K8" s="602" t="s">
        <v>1826</v>
      </c>
      <c r="O8" s="607" t="s">
        <v>1841</v>
      </c>
      <c r="P8" s="607">
        <v>140</v>
      </c>
      <c r="Q8" s="607">
        <v>1080000</v>
      </c>
    </row>
    <row r="9" spans="1:17" s="590" customFormat="1" x14ac:dyDescent="0.2">
      <c r="A9" s="603" t="s">
        <v>1855</v>
      </c>
      <c r="B9" s="602"/>
      <c r="C9" s="602"/>
      <c r="D9" s="602"/>
      <c r="E9" s="602"/>
      <c r="F9" s="602"/>
      <c r="G9" s="602"/>
      <c r="H9" s="602"/>
      <c r="I9" s="602"/>
      <c r="J9" s="602"/>
      <c r="K9" s="602"/>
      <c r="O9" s="607"/>
      <c r="P9" s="607"/>
      <c r="Q9" s="607"/>
    </row>
    <row r="10" spans="1:17" x14ac:dyDescent="0.2">
      <c r="A10" s="604" t="s">
        <v>1836</v>
      </c>
      <c r="B10" s="604"/>
      <c r="C10" s="604"/>
      <c r="D10" s="605">
        <v>140</v>
      </c>
      <c r="E10" s="606">
        <v>900000</v>
      </c>
      <c r="F10" s="604"/>
      <c r="G10" s="604"/>
      <c r="H10" s="604"/>
      <c r="I10" s="604"/>
      <c r="J10" s="604"/>
      <c r="K10" s="604"/>
      <c r="O10" s="607" t="s">
        <v>361</v>
      </c>
      <c r="P10" s="607">
        <v>110</v>
      </c>
      <c r="Q10" s="607">
        <v>630000</v>
      </c>
    </row>
    <row r="11" spans="1:17" x14ac:dyDescent="0.2">
      <c r="A11" s="604" t="s">
        <v>1837</v>
      </c>
      <c r="B11" s="604"/>
      <c r="C11" s="604"/>
      <c r="D11" s="605">
        <v>140</v>
      </c>
      <c r="E11" s="606">
        <v>1260000</v>
      </c>
      <c r="F11" s="604"/>
      <c r="G11" s="604"/>
      <c r="H11" s="604"/>
      <c r="I11" s="604"/>
      <c r="J11" s="604"/>
      <c r="K11" s="604"/>
      <c r="O11" s="607" t="s">
        <v>1829</v>
      </c>
      <c r="P11" s="607">
        <v>160</v>
      </c>
      <c r="Q11" s="607">
        <v>1260000</v>
      </c>
    </row>
    <row r="12" spans="1:17" x14ac:dyDescent="0.2">
      <c r="A12" s="604" t="s">
        <v>1841</v>
      </c>
      <c r="B12" s="604"/>
      <c r="C12" s="604"/>
      <c r="D12" s="605">
        <v>140</v>
      </c>
      <c r="E12" s="606">
        <v>1080000</v>
      </c>
      <c r="F12" s="604"/>
      <c r="G12" s="604"/>
      <c r="H12" s="604"/>
      <c r="I12" s="604"/>
      <c r="J12" s="604"/>
      <c r="K12" s="604"/>
      <c r="O12" s="607" t="s">
        <v>1843</v>
      </c>
      <c r="P12" s="607">
        <v>360</v>
      </c>
      <c r="Q12" s="607">
        <v>1800000</v>
      </c>
    </row>
    <row r="13" spans="1:17" x14ac:dyDescent="0.2">
      <c r="A13" s="604" t="s">
        <v>361</v>
      </c>
      <c r="B13" s="604"/>
      <c r="C13" s="604"/>
      <c r="D13" s="605">
        <v>110</v>
      </c>
      <c r="E13" s="606">
        <v>630000</v>
      </c>
      <c r="F13" s="604"/>
      <c r="G13" s="604"/>
      <c r="H13" s="604"/>
      <c r="I13" s="604"/>
      <c r="J13" s="604"/>
      <c r="K13" s="604"/>
      <c r="O13" s="607" t="s">
        <v>1842</v>
      </c>
      <c r="P13" s="607">
        <v>120</v>
      </c>
      <c r="Q13" s="607">
        <v>270000</v>
      </c>
    </row>
    <row r="14" spans="1:17" x14ac:dyDescent="0.2">
      <c r="A14" s="604" t="s">
        <v>1829</v>
      </c>
      <c r="B14" s="604"/>
      <c r="C14" s="604"/>
      <c r="D14" s="605">
        <v>160</v>
      </c>
      <c r="E14" s="606">
        <v>1260000</v>
      </c>
      <c r="F14" s="604"/>
      <c r="G14" s="604"/>
      <c r="H14" s="604"/>
      <c r="I14" s="604"/>
      <c r="J14" s="604"/>
      <c r="K14" s="604"/>
      <c r="O14" s="607" t="s">
        <v>1840</v>
      </c>
      <c r="P14" s="607">
        <v>140</v>
      </c>
      <c r="Q14" s="607">
        <v>900000</v>
      </c>
    </row>
    <row r="15" spans="1:17" x14ac:dyDescent="0.2">
      <c r="A15" s="604" t="s">
        <v>1843</v>
      </c>
      <c r="B15" s="604"/>
      <c r="C15" s="604"/>
      <c r="D15" s="605">
        <v>360</v>
      </c>
      <c r="E15" s="606">
        <v>1800000</v>
      </c>
      <c r="F15" s="604"/>
      <c r="G15" s="604"/>
      <c r="H15" s="604"/>
      <c r="I15" s="604"/>
      <c r="J15" s="604"/>
      <c r="K15" s="604"/>
      <c r="O15" s="607" t="s">
        <v>1834</v>
      </c>
      <c r="P15" s="607">
        <v>200</v>
      </c>
      <c r="Q15" s="607">
        <v>3240000</v>
      </c>
    </row>
    <row r="16" spans="1:17" x14ac:dyDescent="0.2">
      <c r="A16" s="604" t="s">
        <v>1842</v>
      </c>
      <c r="B16" s="604"/>
      <c r="C16" s="604"/>
      <c r="D16" s="605">
        <v>120</v>
      </c>
      <c r="E16" s="606">
        <v>270000</v>
      </c>
      <c r="F16" s="604"/>
      <c r="G16" s="604"/>
      <c r="H16" s="604"/>
      <c r="I16" s="604"/>
      <c r="J16" s="604"/>
      <c r="K16" s="604"/>
      <c r="O16" s="607" t="s">
        <v>1831</v>
      </c>
      <c r="P16" s="607">
        <v>90</v>
      </c>
      <c r="Q16" s="607">
        <v>1170000</v>
      </c>
    </row>
    <row r="17" spans="1:17" x14ac:dyDescent="0.2">
      <c r="A17" s="604" t="s">
        <v>1840</v>
      </c>
      <c r="D17" s="605">
        <v>140</v>
      </c>
      <c r="E17" s="606">
        <v>900000</v>
      </c>
      <c r="F17" s="604"/>
      <c r="G17" s="604"/>
      <c r="H17" s="604"/>
      <c r="I17" s="604"/>
      <c r="J17" s="604"/>
      <c r="K17" s="604"/>
      <c r="O17" s="607" t="s">
        <v>1828</v>
      </c>
      <c r="P17" s="607">
        <v>260</v>
      </c>
      <c r="Q17" s="607">
        <v>3960000</v>
      </c>
    </row>
    <row r="18" spans="1:17" x14ac:dyDescent="0.2">
      <c r="A18" s="604" t="s">
        <v>1834</v>
      </c>
      <c r="B18" s="604"/>
      <c r="C18" s="604"/>
      <c r="D18" s="605">
        <v>200</v>
      </c>
      <c r="E18" s="606">
        <v>3240000</v>
      </c>
      <c r="F18" s="604"/>
      <c r="G18" s="604"/>
      <c r="H18" s="604"/>
      <c r="I18" s="604"/>
      <c r="J18" s="604"/>
      <c r="K18" s="604"/>
      <c r="O18" s="607" t="s">
        <v>363</v>
      </c>
      <c r="P18" s="607">
        <v>75</v>
      </c>
      <c r="Q18" s="607">
        <v>1170000</v>
      </c>
    </row>
    <row r="19" spans="1:17" x14ac:dyDescent="0.2">
      <c r="A19" s="604" t="s">
        <v>1831</v>
      </c>
      <c r="B19" s="604"/>
      <c r="C19" s="604"/>
      <c r="D19" s="605">
        <v>90</v>
      </c>
      <c r="E19" s="606">
        <v>1170000</v>
      </c>
      <c r="F19" s="604"/>
      <c r="G19" s="604"/>
      <c r="H19" s="604"/>
      <c r="I19" s="604"/>
      <c r="J19" s="604"/>
      <c r="K19" s="604"/>
      <c r="O19" s="607" t="s">
        <v>1838</v>
      </c>
      <c r="P19" s="607">
        <v>90</v>
      </c>
      <c r="Q19" s="607">
        <v>2700000</v>
      </c>
    </row>
    <row r="20" spans="1:17" x14ac:dyDescent="0.2">
      <c r="A20" s="604" t="s">
        <v>1828</v>
      </c>
      <c r="B20" s="604"/>
      <c r="C20" s="604"/>
      <c r="D20" s="605">
        <v>260</v>
      </c>
      <c r="E20" s="606">
        <v>3960000</v>
      </c>
      <c r="F20" s="604"/>
      <c r="G20" s="604"/>
      <c r="H20" s="604"/>
      <c r="I20" s="604"/>
      <c r="J20" s="604"/>
      <c r="K20" s="604"/>
      <c r="O20" s="607" t="s">
        <v>1830</v>
      </c>
      <c r="P20" s="607">
        <v>110</v>
      </c>
      <c r="Q20" s="607">
        <v>1260000</v>
      </c>
    </row>
    <row r="21" spans="1:17" x14ac:dyDescent="0.2">
      <c r="A21" s="604" t="s">
        <v>363</v>
      </c>
      <c r="B21" s="604"/>
      <c r="C21" s="604"/>
      <c r="D21" s="605">
        <v>75</v>
      </c>
      <c r="E21" s="606">
        <v>1170000</v>
      </c>
      <c r="F21" s="604"/>
      <c r="G21" s="604"/>
      <c r="H21" s="604"/>
      <c r="I21" s="604"/>
      <c r="J21" s="604"/>
      <c r="K21" s="604"/>
      <c r="O21" s="607" t="s">
        <v>1835</v>
      </c>
      <c r="P21" s="607">
        <v>140</v>
      </c>
      <c r="Q21" s="607">
        <v>1080000</v>
      </c>
    </row>
    <row r="22" spans="1:17" x14ac:dyDescent="0.2">
      <c r="A22" s="604" t="s">
        <v>1838</v>
      </c>
      <c r="B22" s="604"/>
      <c r="C22" s="604"/>
      <c r="D22" s="605">
        <v>90</v>
      </c>
      <c r="E22" s="606">
        <v>2700000</v>
      </c>
      <c r="F22" s="604"/>
      <c r="G22" s="604"/>
      <c r="H22" s="604"/>
      <c r="I22" s="604"/>
      <c r="J22" s="604"/>
      <c r="K22" s="604"/>
      <c r="O22" s="607" t="s">
        <v>1839</v>
      </c>
      <c r="P22" s="607">
        <v>110</v>
      </c>
      <c r="Q22" s="607">
        <v>1260000</v>
      </c>
    </row>
    <row r="23" spans="1:17" x14ac:dyDescent="0.2">
      <c r="A23" s="604" t="s">
        <v>1830</v>
      </c>
      <c r="B23" s="604"/>
      <c r="C23" s="604"/>
      <c r="D23" s="605">
        <v>110</v>
      </c>
      <c r="E23" s="606">
        <v>1260000</v>
      </c>
      <c r="F23" s="604"/>
      <c r="G23" s="604"/>
      <c r="H23" s="604"/>
      <c r="I23" s="604"/>
      <c r="J23" s="604"/>
      <c r="K23" s="604"/>
    </row>
    <row r="24" spans="1:17" x14ac:dyDescent="0.2">
      <c r="A24" s="604" t="s">
        <v>1835</v>
      </c>
      <c r="B24" s="604"/>
      <c r="C24" s="604"/>
      <c r="D24" s="605">
        <v>140</v>
      </c>
      <c r="E24" s="606">
        <v>1080000</v>
      </c>
      <c r="F24" s="604"/>
      <c r="G24" s="604"/>
      <c r="H24" s="604"/>
      <c r="I24" s="604"/>
      <c r="J24" s="604"/>
      <c r="K24" s="604"/>
    </row>
    <row r="25" spans="1:17" x14ac:dyDescent="0.2">
      <c r="A25" s="604" t="s">
        <v>1839</v>
      </c>
      <c r="B25" s="604"/>
      <c r="C25" s="604"/>
      <c r="D25" s="605">
        <v>110</v>
      </c>
      <c r="E25" s="606">
        <v>1260000</v>
      </c>
      <c r="F25" s="604"/>
      <c r="G25" s="604"/>
      <c r="H25" s="604"/>
      <c r="I25" s="604"/>
      <c r="J25" s="604"/>
      <c r="K25" s="604"/>
    </row>
    <row r="26" spans="1:17" x14ac:dyDescent="0.2">
      <c r="A26" s="604"/>
      <c r="B26" s="604"/>
      <c r="C26" s="604"/>
      <c r="D26" s="605"/>
      <c r="E26" s="608"/>
      <c r="F26" s="604"/>
      <c r="G26" s="604"/>
      <c r="H26" s="604"/>
      <c r="I26" s="604"/>
      <c r="J26" s="604"/>
      <c r="K26" s="604"/>
    </row>
    <row r="27" spans="1:17" x14ac:dyDescent="0.2">
      <c r="A27" s="603" t="s">
        <v>1854</v>
      </c>
    </row>
    <row r="28" spans="1:17" x14ac:dyDescent="0.2">
      <c r="A28" s="604"/>
      <c r="B28" s="604"/>
      <c r="C28" s="604"/>
      <c r="D28" s="605"/>
      <c r="E28" s="608"/>
      <c r="F28" s="604"/>
      <c r="G28" s="604"/>
      <c r="H28" s="604"/>
      <c r="I28" s="604"/>
      <c r="J28" s="604"/>
      <c r="K28" s="604"/>
    </row>
    <row r="29" spans="1:17" x14ac:dyDescent="0.2">
      <c r="A29" s="604"/>
      <c r="B29" s="604"/>
      <c r="C29" s="609"/>
      <c r="D29" s="610"/>
      <c r="E29" s="611"/>
      <c r="F29" s="604"/>
      <c r="G29" s="604"/>
      <c r="H29" s="604"/>
      <c r="I29" s="604"/>
      <c r="J29" s="604"/>
      <c r="K29" s="604"/>
    </row>
    <row r="30" spans="1:17" x14ac:dyDescent="0.2">
      <c r="A30" s="604"/>
      <c r="B30" s="604"/>
      <c r="C30" s="609"/>
      <c r="D30" s="610"/>
      <c r="E30" s="611"/>
      <c r="F30" s="604"/>
      <c r="G30" s="604"/>
      <c r="H30" s="604"/>
      <c r="I30" s="604"/>
      <c r="J30" s="604"/>
      <c r="K30" s="604"/>
    </row>
    <row r="31" spans="1:17" x14ac:dyDescent="0.2">
      <c r="A31" s="604"/>
      <c r="B31" s="604"/>
      <c r="C31" s="609"/>
      <c r="D31" s="610"/>
      <c r="E31" s="611"/>
      <c r="F31" s="604"/>
      <c r="G31" s="604"/>
      <c r="H31" s="604"/>
      <c r="I31" s="604"/>
      <c r="J31" s="604"/>
      <c r="K31" s="604"/>
    </row>
    <row r="32" spans="1:17" x14ac:dyDescent="0.2">
      <c r="A32" s="604"/>
      <c r="B32" s="604"/>
      <c r="C32" s="609"/>
      <c r="D32" s="610"/>
      <c r="E32" s="611"/>
      <c r="F32" s="604"/>
      <c r="G32" s="604"/>
      <c r="H32" s="604"/>
      <c r="I32" s="604"/>
      <c r="J32" s="604"/>
      <c r="K32" s="604"/>
    </row>
    <row r="33" spans="1:11" x14ac:dyDescent="0.2">
      <c r="A33" s="604"/>
      <c r="B33" s="604"/>
      <c r="C33" s="609"/>
      <c r="D33" s="610"/>
      <c r="E33" s="611"/>
      <c r="F33" s="604"/>
      <c r="G33" s="604"/>
      <c r="H33" s="604"/>
      <c r="I33" s="604"/>
      <c r="J33" s="604"/>
      <c r="K33" s="604"/>
    </row>
    <row r="34" spans="1:11" x14ac:dyDescent="0.2">
      <c r="A34" s="604"/>
      <c r="B34" s="604"/>
      <c r="C34" s="609"/>
      <c r="D34" s="610"/>
      <c r="E34" s="611"/>
      <c r="F34" s="604"/>
      <c r="G34" s="604"/>
      <c r="H34" s="604"/>
      <c r="I34" s="604"/>
      <c r="J34" s="604"/>
      <c r="K34" s="604"/>
    </row>
    <row r="35" spans="1:11" x14ac:dyDescent="0.2">
      <c r="A35" s="604"/>
      <c r="B35" s="604"/>
      <c r="C35" s="609"/>
      <c r="D35" s="610"/>
      <c r="E35" s="611"/>
      <c r="F35" s="604"/>
      <c r="G35" s="604"/>
      <c r="H35" s="604"/>
      <c r="I35" s="604"/>
      <c r="J35" s="604"/>
      <c r="K35" s="604"/>
    </row>
    <row r="36" spans="1:11" x14ac:dyDescent="0.2">
      <c r="A36" s="604"/>
      <c r="B36" s="604"/>
      <c r="C36" s="609"/>
      <c r="D36" s="610"/>
      <c r="E36" s="611"/>
      <c r="F36" s="604"/>
      <c r="G36" s="604"/>
      <c r="H36" s="604"/>
      <c r="I36" s="604"/>
      <c r="J36" s="604"/>
      <c r="K36" s="604"/>
    </row>
    <row r="37" spans="1:11" x14ac:dyDescent="0.2">
      <c r="A37" s="604"/>
      <c r="B37" s="604"/>
      <c r="C37" s="609"/>
      <c r="D37" s="610"/>
      <c r="E37" s="611"/>
      <c r="F37" s="604"/>
      <c r="G37" s="604"/>
      <c r="H37" s="604"/>
      <c r="I37" s="604"/>
      <c r="J37" s="604"/>
      <c r="K37" s="604"/>
    </row>
    <row r="38" spans="1:11" x14ac:dyDescent="0.2">
      <c r="A38" s="604"/>
      <c r="B38" s="604"/>
      <c r="C38" s="609"/>
      <c r="D38" s="610"/>
      <c r="E38" s="611"/>
      <c r="F38" s="604"/>
      <c r="G38" s="604"/>
      <c r="H38" s="604"/>
      <c r="I38" s="604"/>
      <c r="J38" s="604"/>
      <c r="K38" s="604"/>
    </row>
    <row r="39" spans="1:11" x14ac:dyDescent="0.2">
      <c r="A39" s="604"/>
      <c r="B39" s="604"/>
      <c r="C39" s="609"/>
      <c r="D39" s="610"/>
      <c r="E39" s="611"/>
      <c r="F39" s="604"/>
      <c r="G39" s="604"/>
      <c r="H39" s="604"/>
      <c r="I39" s="604"/>
      <c r="J39" s="604"/>
      <c r="K39" s="604"/>
    </row>
    <row r="40" spans="1:11" x14ac:dyDescent="0.2">
      <c r="A40" s="604"/>
      <c r="B40" s="604"/>
      <c r="C40" s="609"/>
      <c r="D40" s="610"/>
      <c r="E40" s="611"/>
      <c r="F40" s="604"/>
      <c r="G40" s="604"/>
      <c r="H40" s="604"/>
      <c r="I40" s="604"/>
      <c r="J40" s="604"/>
      <c r="K40" s="604"/>
    </row>
    <row r="41" spans="1:11" x14ac:dyDescent="0.2">
      <c r="A41" s="604"/>
      <c r="B41" s="604"/>
      <c r="C41" s="609"/>
      <c r="D41" s="610"/>
      <c r="E41" s="611"/>
      <c r="F41" s="604"/>
      <c r="G41" s="604"/>
      <c r="H41" s="604"/>
      <c r="I41" s="604"/>
      <c r="J41" s="604"/>
      <c r="K41" s="604"/>
    </row>
    <row r="42" spans="1:11" x14ac:dyDescent="0.2">
      <c r="A42" s="604"/>
      <c r="B42" s="604"/>
      <c r="C42" s="609"/>
      <c r="D42" s="610"/>
      <c r="E42" s="611"/>
      <c r="F42" s="604"/>
      <c r="G42" s="604"/>
      <c r="H42" s="604"/>
      <c r="I42" s="604"/>
      <c r="J42" s="604"/>
      <c r="K42" s="604"/>
    </row>
    <row r="43" spans="1:11" x14ac:dyDescent="0.2">
      <c r="A43" s="604"/>
      <c r="B43" s="604"/>
      <c r="C43" s="609"/>
      <c r="D43" s="610"/>
      <c r="E43" s="611"/>
      <c r="F43" s="604"/>
      <c r="G43" s="604"/>
      <c r="H43" s="604"/>
      <c r="I43" s="604"/>
      <c r="J43" s="604"/>
      <c r="K43" s="604"/>
    </row>
    <row r="44" spans="1:11" x14ac:dyDescent="0.2">
      <c r="A44" s="604"/>
      <c r="B44" s="604"/>
      <c r="C44" s="609"/>
      <c r="D44" s="610"/>
      <c r="E44" s="611"/>
      <c r="F44" s="604"/>
      <c r="G44" s="604"/>
      <c r="H44" s="604"/>
      <c r="I44" s="604"/>
      <c r="J44" s="604"/>
      <c r="K44" s="604"/>
    </row>
    <row r="45" spans="1:11" x14ac:dyDescent="0.2">
      <c r="A45" s="604"/>
      <c r="B45" s="604"/>
      <c r="C45" s="609"/>
      <c r="D45" s="610"/>
      <c r="E45" s="611"/>
      <c r="F45" s="604"/>
      <c r="G45" s="604"/>
      <c r="H45" s="604"/>
      <c r="I45" s="604"/>
      <c r="J45" s="604"/>
      <c r="K45" s="604"/>
    </row>
    <row r="46" spans="1:11" x14ac:dyDescent="0.2">
      <c r="A46" s="604"/>
      <c r="B46" s="604"/>
      <c r="C46" s="609"/>
      <c r="D46" s="610"/>
      <c r="E46" s="611"/>
      <c r="F46" s="604"/>
      <c r="G46" s="604"/>
      <c r="H46" s="604"/>
      <c r="I46" s="604"/>
      <c r="J46" s="604"/>
      <c r="K46" s="604"/>
    </row>
    <row r="47" spans="1:11" x14ac:dyDescent="0.2">
      <c r="A47" s="604"/>
      <c r="B47" s="604"/>
      <c r="C47" s="609"/>
      <c r="D47" s="610"/>
      <c r="E47" s="611"/>
      <c r="F47" s="604"/>
      <c r="G47" s="604"/>
      <c r="H47" s="604"/>
      <c r="I47" s="604"/>
      <c r="J47" s="604"/>
      <c r="K47" s="604"/>
    </row>
    <row r="48" spans="1:11" x14ac:dyDescent="0.2">
      <c r="A48" s="604"/>
      <c r="B48" s="604"/>
      <c r="C48" s="609"/>
      <c r="D48" s="610"/>
      <c r="E48" s="611"/>
      <c r="F48" s="604"/>
      <c r="G48" s="604"/>
      <c r="H48" s="604"/>
      <c r="I48" s="604"/>
      <c r="J48" s="604"/>
      <c r="K48" s="604"/>
    </row>
    <row r="49" spans="1:11" x14ac:dyDescent="0.2">
      <c r="A49" s="604"/>
      <c r="B49" s="604"/>
      <c r="C49" s="609"/>
      <c r="D49" s="610"/>
      <c r="E49" s="611"/>
      <c r="F49" s="604"/>
      <c r="G49" s="604"/>
      <c r="H49" s="604"/>
      <c r="I49" s="604"/>
      <c r="J49" s="604"/>
      <c r="K49" s="604"/>
    </row>
    <row r="50" spans="1:11" x14ac:dyDescent="0.2">
      <c r="A50" s="604"/>
      <c r="B50" s="604"/>
      <c r="C50" s="609"/>
      <c r="D50" s="610"/>
      <c r="E50" s="611"/>
      <c r="F50" s="604"/>
      <c r="G50" s="604"/>
      <c r="H50" s="604"/>
      <c r="I50" s="604"/>
      <c r="J50" s="604"/>
      <c r="K50" s="604"/>
    </row>
    <row r="51" spans="1:11" x14ac:dyDescent="0.2">
      <c r="A51" s="604"/>
      <c r="B51" s="604"/>
      <c r="C51" s="609"/>
      <c r="D51" s="610"/>
      <c r="E51" s="611"/>
      <c r="F51" s="604"/>
      <c r="G51" s="604"/>
      <c r="H51" s="604"/>
      <c r="I51" s="604"/>
      <c r="J51" s="604"/>
      <c r="K51" s="604"/>
    </row>
    <row r="52" spans="1:11" x14ac:dyDescent="0.2">
      <c r="A52" s="604"/>
      <c r="B52" s="604"/>
      <c r="C52" s="609"/>
      <c r="D52" s="610"/>
      <c r="E52" s="611"/>
      <c r="F52" s="604"/>
      <c r="G52" s="604"/>
      <c r="H52" s="604"/>
      <c r="I52" s="604"/>
      <c r="J52" s="604"/>
      <c r="K52" s="604"/>
    </row>
    <row r="53" spans="1:11" x14ac:dyDescent="0.2">
      <c r="A53" s="604"/>
      <c r="B53" s="604"/>
      <c r="C53" s="609"/>
      <c r="D53" s="610"/>
      <c r="E53" s="611"/>
      <c r="F53" s="604"/>
      <c r="G53" s="604"/>
      <c r="H53" s="604"/>
      <c r="I53" s="604"/>
      <c r="J53" s="604"/>
      <c r="K53" s="604"/>
    </row>
    <row r="54" spans="1:11" x14ac:dyDescent="0.2">
      <c r="A54" s="604"/>
      <c r="B54" s="604"/>
      <c r="C54" s="609"/>
      <c r="D54" s="610"/>
      <c r="E54" s="611"/>
      <c r="F54" s="604"/>
      <c r="G54" s="604"/>
      <c r="H54" s="604"/>
      <c r="I54" s="604"/>
      <c r="J54" s="604"/>
      <c r="K54" s="604"/>
    </row>
    <row r="55" spans="1:11" x14ac:dyDescent="0.2">
      <c r="A55" s="604"/>
      <c r="B55" s="604"/>
      <c r="C55" s="609"/>
      <c r="D55" s="610"/>
      <c r="E55" s="611"/>
      <c r="F55" s="604"/>
      <c r="G55" s="604"/>
      <c r="H55" s="604"/>
      <c r="I55" s="604"/>
      <c r="J55" s="604"/>
      <c r="K55" s="604"/>
    </row>
    <row r="56" spans="1:11" x14ac:dyDescent="0.2">
      <c r="A56" s="604"/>
      <c r="B56" s="604"/>
      <c r="C56" s="609"/>
      <c r="D56" s="610"/>
      <c r="E56" s="611"/>
      <c r="F56" s="604"/>
      <c r="G56" s="604"/>
      <c r="H56" s="604"/>
      <c r="I56" s="604"/>
      <c r="J56" s="604"/>
      <c r="K56" s="604"/>
    </row>
    <row r="57" spans="1:11" x14ac:dyDescent="0.2">
      <c r="A57" s="604"/>
      <c r="B57" s="604"/>
      <c r="C57" s="609"/>
      <c r="D57" s="610"/>
      <c r="E57" s="611"/>
      <c r="F57" s="604"/>
      <c r="G57" s="604"/>
      <c r="H57" s="604"/>
      <c r="I57" s="604"/>
      <c r="J57" s="604"/>
      <c r="K57" s="604"/>
    </row>
    <row r="58" spans="1:11" x14ac:dyDescent="0.2">
      <c r="A58" s="604"/>
      <c r="B58" s="604"/>
      <c r="C58" s="609"/>
      <c r="D58" s="610"/>
      <c r="E58" s="611"/>
      <c r="F58" s="604"/>
      <c r="G58" s="604"/>
      <c r="H58" s="604"/>
      <c r="I58" s="604"/>
      <c r="J58" s="604"/>
      <c r="K58" s="604"/>
    </row>
    <row r="59" spans="1:11" x14ac:dyDescent="0.2">
      <c r="A59" s="604"/>
      <c r="B59" s="604"/>
      <c r="C59" s="609"/>
      <c r="D59" s="610"/>
      <c r="E59" s="611"/>
      <c r="F59" s="604"/>
      <c r="G59" s="604"/>
      <c r="H59" s="604"/>
      <c r="I59" s="604"/>
      <c r="J59" s="604"/>
      <c r="K59" s="604"/>
    </row>
    <row r="60" spans="1:11" x14ac:dyDescent="0.2">
      <c r="A60" s="604"/>
      <c r="B60" s="604"/>
      <c r="C60" s="609"/>
      <c r="D60" s="610"/>
      <c r="E60" s="611"/>
      <c r="F60" s="604"/>
      <c r="G60" s="604"/>
      <c r="H60" s="604"/>
      <c r="I60" s="604"/>
      <c r="J60" s="604"/>
      <c r="K60" s="604"/>
    </row>
    <row r="61" spans="1:11" x14ac:dyDescent="0.2">
      <c r="A61" s="604"/>
      <c r="B61" s="604"/>
      <c r="C61" s="609"/>
      <c r="D61" s="610"/>
      <c r="E61" s="611"/>
      <c r="F61" s="604"/>
      <c r="G61" s="604"/>
      <c r="H61" s="604"/>
      <c r="I61" s="604"/>
      <c r="J61" s="604"/>
      <c r="K61" s="604"/>
    </row>
    <row r="538" spans="15:17" x14ac:dyDescent="0.2">
      <c r="O538" s="590"/>
      <c r="P538" s="590"/>
      <c r="Q538" s="590"/>
    </row>
    <row r="539" spans="15:17" x14ac:dyDescent="0.2">
      <c r="Q539" s="607" t="s">
        <v>32</v>
      </c>
    </row>
    <row r="552" spans="17:17" x14ac:dyDescent="0.2">
      <c r="Q552" s="607">
        <v>0</v>
      </c>
    </row>
    <row r="553" spans="17:17" x14ac:dyDescent="0.2">
      <c r="Q553" s="607">
        <v>0</v>
      </c>
    </row>
    <row r="554" spans="17:17" x14ac:dyDescent="0.2">
      <c r="Q554" s="607">
        <v>0</v>
      </c>
    </row>
    <row r="555" spans="17:17" x14ac:dyDescent="0.2">
      <c r="Q555" s="607">
        <v>0</v>
      </c>
    </row>
    <row r="556" spans="17:17" x14ac:dyDescent="0.2">
      <c r="Q556" s="607">
        <v>0</v>
      </c>
    </row>
    <row r="557" spans="17:17" x14ac:dyDescent="0.2">
      <c r="Q557" s="607" t="s">
        <v>27</v>
      </c>
    </row>
    <row r="560" spans="17:17" x14ac:dyDescent="0.2">
      <c r="Q560" s="607">
        <v>27</v>
      </c>
    </row>
    <row r="561" spans="17:17" x14ac:dyDescent="0.2">
      <c r="Q561" s="607" t="s">
        <v>28</v>
      </c>
    </row>
    <row r="569" spans="17:17" x14ac:dyDescent="0.2">
      <c r="Q569" s="607" t="s">
        <v>29</v>
      </c>
    </row>
    <row r="572" spans="17:17" x14ac:dyDescent="0.2">
      <c r="Q572" s="607" t="s">
        <v>1016</v>
      </c>
    </row>
    <row r="574" spans="17:17" x14ac:dyDescent="0.2">
      <c r="Q574" s="607" t="s">
        <v>1852</v>
      </c>
    </row>
    <row r="579" spans="17:17" x14ac:dyDescent="0.2">
      <c r="Q579" s="607" t="s">
        <v>32</v>
      </c>
    </row>
    <row r="595" spans="17:17" x14ac:dyDescent="0.2">
      <c r="Q595" s="607">
        <v>0</v>
      </c>
    </row>
    <row r="596" spans="17:17" x14ac:dyDescent="0.2">
      <c r="Q596" s="607">
        <v>0</v>
      </c>
    </row>
    <row r="597" spans="17:17" x14ac:dyDescent="0.2">
      <c r="Q597" s="607">
        <v>0</v>
      </c>
    </row>
    <row r="598" spans="17:17" x14ac:dyDescent="0.2">
      <c r="Q598" s="607">
        <v>0</v>
      </c>
    </row>
    <row r="599" spans="17:17" x14ac:dyDescent="0.2">
      <c r="Q599" s="607">
        <v>0</v>
      </c>
    </row>
    <row r="600" spans="17:17" x14ac:dyDescent="0.2">
      <c r="Q600" s="607" t="s">
        <v>27</v>
      </c>
    </row>
    <row r="603" spans="17:17" x14ac:dyDescent="0.2">
      <c r="Q603" s="607">
        <v>320</v>
      </c>
    </row>
    <row r="604" spans="17:17" x14ac:dyDescent="0.2">
      <c r="Q604" s="607" t="s">
        <v>28</v>
      </c>
    </row>
    <row r="617" spans="17:17" x14ac:dyDescent="0.2">
      <c r="Q617" s="607" t="s">
        <v>29</v>
      </c>
    </row>
    <row r="620" spans="17:17" x14ac:dyDescent="0.2">
      <c r="Q620" s="607" t="s">
        <v>1016</v>
      </c>
    </row>
    <row r="622" spans="17:17" x14ac:dyDescent="0.2">
      <c r="Q622" s="607" t="s">
        <v>1852</v>
      </c>
    </row>
    <row r="627" spans="17:17" x14ac:dyDescent="0.2">
      <c r="Q627" s="607" t="s">
        <v>32</v>
      </c>
    </row>
    <row r="642" spans="17:17" x14ac:dyDescent="0.2">
      <c r="Q642" s="607">
        <v>0</v>
      </c>
    </row>
    <row r="643" spans="17:17" x14ac:dyDescent="0.2">
      <c r="Q643" s="607">
        <v>0</v>
      </c>
    </row>
    <row r="644" spans="17:17" x14ac:dyDescent="0.2">
      <c r="Q644" s="607">
        <v>0</v>
      </c>
    </row>
    <row r="645" spans="17:17" x14ac:dyDescent="0.2">
      <c r="Q645" s="607">
        <v>0</v>
      </c>
    </row>
    <row r="646" spans="17:17" x14ac:dyDescent="0.2">
      <c r="Q646" s="607">
        <v>0</v>
      </c>
    </row>
    <row r="647" spans="17:17" x14ac:dyDescent="0.2">
      <c r="Q647" s="607" t="s">
        <v>27</v>
      </c>
    </row>
    <row r="650" spans="17:17" x14ac:dyDescent="0.2">
      <c r="Q650" s="607">
        <v>380</v>
      </c>
    </row>
    <row r="651" spans="17:17" x14ac:dyDescent="0.2">
      <c r="Q651" s="607" t="s">
        <v>28</v>
      </c>
    </row>
    <row r="663" spans="17:17" x14ac:dyDescent="0.2">
      <c r="Q663" s="607" t="s">
        <v>29</v>
      </c>
    </row>
    <row r="666" spans="17:17" x14ac:dyDescent="0.2">
      <c r="Q666" s="607" t="s">
        <v>1016</v>
      </c>
    </row>
    <row r="668" spans="17:17" x14ac:dyDescent="0.2">
      <c r="Q668" s="607" t="s">
        <v>1852</v>
      </c>
    </row>
    <row r="673" spans="17:17" x14ac:dyDescent="0.2">
      <c r="Q673" s="607" t="s">
        <v>32</v>
      </c>
    </row>
    <row r="688" spans="17:17" x14ac:dyDescent="0.2">
      <c r="Q688" s="607">
        <v>0</v>
      </c>
    </row>
    <row r="689" spans="17:17" x14ac:dyDescent="0.2">
      <c r="Q689" s="607">
        <v>0</v>
      </c>
    </row>
    <row r="690" spans="17:17" x14ac:dyDescent="0.2">
      <c r="Q690" s="607">
        <v>0</v>
      </c>
    </row>
    <row r="691" spans="17:17" x14ac:dyDescent="0.2">
      <c r="Q691" s="607">
        <v>0</v>
      </c>
    </row>
    <row r="692" spans="17:17" x14ac:dyDescent="0.2">
      <c r="Q692" s="607">
        <v>0</v>
      </c>
    </row>
    <row r="693" spans="17:17" x14ac:dyDescent="0.2">
      <c r="Q693" s="607" t="s">
        <v>27</v>
      </c>
    </row>
    <row r="696" spans="17:17" x14ac:dyDescent="0.2">
      <c r="Q696" s="607">
        <v>275</v>
      </c>
    </row>
    <row r="697" spans="17:17" x14ac:dyDescent="0.2">
      <c r="Q697" s="607" t="s">
        <v>28</v>
      </c>
    </row>
    <row r="709" spans="17:17" x14ac:dyDescent="0.2">
      <c r="Q709" s="607" t="s">
        <v>29</v>
      </c>
    </row>
    <row r="712" spans="17:17" x14ac:dyDescent="0.2">
      <c r="Q712" s="607" t="s">
        <v>1016</v>
      </c>
    </row>
    <row r="714" spans="17:17" x14ac:dyDescent="0.2">
      <c r="Q714" s="607" t="s">
        <v>1853</v>
      </c>
    </row>
    <row r="719" spans="17:17" x14ac:dyDescent="0.2">
      <c r="Q719" s="607" t="s">
        <v>32</v>
      </c>
    </row>
    <row r="734" spans="17:17" x14ac:dyDescent="0.2">
      <c r="Q734" s="607">
        <v>0</v>
      </c>
    </row>
    <row r="735" spans="17:17" x14ac:dyDescent="0.2">
      <c r="Q735" s="607">
        <v>0</v>
      </c>
    </row>
    <row r="736" spans="17:17" x14ac:dyDescent="0.2">
      <c r="Q736" s="607">
        <v>0</v>
      </c>
    </row>
    <row r="737" spans="17:17" x14ac:dyDescent="0.2">
      <c r="Q737" s="607">
        <v>0</v>
      </c>
    </row>
    <row r="738" spans="17:17" x14ac:dyDescent="0.2">
      <c r="Q738" s="607">
        <v>0</v>
      </c>
    </row>
    <row r="739" spans="17:17" x14ac:dyDescent="0.2">
      <c r="Q739" s="607" t="s">
        <v>27</v>
      </c>
    </row>
    <row r="742" spans="17:17" x14ac:dyDescent="0.2">
      <c r="Q742" s="607">
        <v>260</v>
      </c>
    </row>
    <row r="743" spans="17:17" x14ac:dyDescent="0.2">
      <c r="Q743" s="607" t="s">
        <v>28</v>
      </c>
    </row>
    <row r="755" spans="17:17" x14ac:dyDescent="0.2">
      <c r="Q755" s="607" t="s">
        <v>29</v>
      </c>
    </row>
    <row r="758" spans="17:17" x14ac:dyDescent="0.2">
      <c r="Q758" s="607" t="s">
        <v>1016</v>
      </c>
    </row>
    <row r="760" spans="17:17" x14ac:dyDescent="0.2">
      <c r="Q760" s="607" t="e">
        <v>#N/A</v>
      </c>
    </row>
    <row r="765" spans="17:17" x14ac:dyDescent="0.2">
      <c r="Q765" s="607" t="s">
        <v>32</v>
      </c>
    </row>
    <row r="782" spans="17:17" x14ac:dyDescent="0.2">
      <c r="Q782" s="607">
        <v>0</v>
      </c>
    </row>
    <row r="783" spans="17:17" x14ac:dyDescent="0.2">
      <c r="Q783" s="607">
        <v>0</v>
      </c>
    </row>
    <row r="784" spans="17:17" x14ac:dyDescent="0.2">
      <c r="Q784" s="607">
        <v>0</v>
      </c>
    </row>
    <row r="785" spans="17:17" x14ac:dyDescent="0.2">
      <c r="Q785" s="607">
        <v>0</v>
      </c>
    </row>
    <row r="786" spans="17:17" x14ac:dyDescent="0.2">
      <c r="Q786" s="607">
        <v>0</v>
      </c>
    </row>
    <row r="787" spans="17:17" x14ac:dyDescent="0.2">
      <c r="Q787" s="607" t="s">
        <v>27</v>
      </c>
    </row>
    <row r="790" spans="17:17" x14ac:dyDescent="0.2">
      <c r="Q790" s="607">
        <v>4800</v>
      </c>
    </row>
    <row r="791" spans="17:17" x14ac:dyDescent="0.2">
      <c r="Q791" s="607" t="s">
        <v>28</v>
      </c>
    </row>
    <row r="803" spans="17:17" x14ac:dyDescent="0.2">
      <c r="Q803" s="607" t="s">
        <v>29</v>
      </c>
    </row>
    <row r="807" spans="17:17" x14ac:dyDescent="0.2">
      <c r="Q807" s="607" t="s">
        <v>1016</v>
      </c>
    </row>
    <row r="809" spans="17:17" x14ac:dyDescent="0.2">
      <c r="Q809" s="607" t="e">
        <v>#N/A</v>
      </c>
    </row>
    <row r="814" spans="17:17" x14ac:dyDescent="0.2">
      <c r="Q814" s="607" t="s">
        <v>32</v>
      </c>
    </row>
    <row r="831" spans="17:17" x14ac:dyDescent="0.2">
      <c r="Q831" s="607">
        <v>0</v>
      </c>
    </row>
    <row r="832" spans="17:17" x14ac:dyDescent="0.2">
      <c r="Q832" s="607">
        <v>0</v>
      </c>
    </row>
    <row r="833" spans="17:17" x14ac:dyDescent="0.2">
      <c r="Q833" s="607">
        <v>0</v>
      </c>
    </row>
    <row r="834" spans="17:17" x14ac:dyDescent="0.2">
      <c r="Q834" s="607">
        <v>0</v>
      </c>
    </row>
    <row r="835" spans="17:17" x14ac:dyDescent="0.2">
      <c r="Q835" s="607">
        <v>0</v>
      </c>
    </row>
    <row r="836" spans="17:17" x14ac:dyDescent="0.2">
      <c r="Q836" s="607" t="s">
        <v>27</v>
      </c>
    </row>
    <row r="839" spans="17:17" x14ac:dyDescent="0.2">
      <c r="Q839" s="607">
        <v>5500</v>
      </c>
    </row>
    <row r="840" spans="17:17" x14ac:dyDescent="0.2">
      <c r="Q840" s="607" t="s">
        <v>28</v>
      </c>
    </row>
    <row r="852" spans="17:17" x14ac:dyDescent="0.2">
      <c r="Q852" s="607" t="s">
        <v>29</v>
      </c>
    </row>
    <row r="856" spans="17:17" x14ac:dyDescent="0.2">
      <c r="Q856" s="607" t="s">
        <v>1016</v>
      </c>
    </row>
    <row r="858" spans="17:17" x14ac:dyDescent="0.2">
      <c r="Q858" s="607" t="e">
        <v>#N/A</v>
      </c>
    </row>
    <row r="863" spans="17:17" x14ac:dyDescent="0.2">
      <c r="Q863" s="607" t="s">
        <v>32</v>
      </c>
    </row>
    <row r="878" spans="17:17" x14ac:dyDescent="0.2">
      <c r="Q878" s="607">
        <v>0</v>
      </c>
    </row>
    <row r="879" spans="17:17" x14ac:dyDescent="0.2">
      <c r="Q879" s="607">
        <v>0</v>
      </c>
    </row>
    <row r="880" spans="17:17" x14ac:dyDescent="0.2">
      <c r="Q880" s="607">
        <v>0</v>
      </c>
    </row>
    <row r="881" spans="17:17" x14ac:dyDescent="0.2">
      <c r="Q881" s="607">
        <v>0</v>
      </c>
    </row>
    <row r="882" spans="17:17" x14ac:dyDescent="0.2">
      <c r="Q882" s="607">
        <v>0</v>
      </c>
    </row>
    <row r="883" spans="17:17" x14ac:dyDescent="0.2">
      <c r="Q883" s="607" t="s">
        <v>27</v>
      </c>
    </row>
    <row r="886" spans="17:17" x14ac:dyDescent="0.2">
      <c r="Q886" s="607">
        <v>2333.3333333333335</v>
      </c>
    </row>
    <row r="887" spans="17:17" x14ac:dyDescent="0.2">
      <c r="Q887" s="607" t="s">
        <v>28</v>
      </c>
    </row>
    <row r="899" spans="17:17" x14ac:dyDescent="0.2">
      <c r="Q899" s="607" t="s">
        <v>29</v>
      </c>
    </row>
    <row r="902" spans="17:17" x14ac:dyDescent="0.2">
      <c r="Q902" s="607" t="s">
        <v>1016</v>
      </c>
    </row>
    <row r="904" spans="17:17" x14ac:dyDescent="0.2">
      <c r="Q904" s="607" t="e">
        <v>#N/A</v>
      </c>
    </row>
    <row r="909" spans="17:17" x14ac:dyDescent="0.2">
      <c r="Q909" s="607" t="s">
        <v>32</v>
      </c>
    </row>
    <row r="924" spans="17:17" x14ac:dyDescent="0.2">
      <c r="Q924" s="607">
        <v>0</v>
      </c>
    </row>
    <row r="925" spans="17:17" x14ac:dyDescent="0.2">
      <c r="Q925" s="607">
        <v>0</v>
      </c>
    </row>
    <row r="926" spans="17:17" x14ac:dyDescent="0.2">
      <c r="Q926" s="607">
        <v>0</v>
      </c>
    </row>
    <row r="927" spans="17:17" x14ac:dyDescent="0.2">
      <c r="Q927" s="607">
        <v>0</v>
      </c>
    </row>
    <row r="928" spans="17:17" x14ac:dyDescent="0.2">
      <c r="Q928" s="607">
        <v>0</v>
      </c>
    </row>
    <row r="929" spans="17:17" x14ac:dyDescent="0.2">
      <c r="Q929" s="607" t="s">
        <v>27</v>
      </c>
    </row>
    <row r="932" spans="17:17" x14ac:dyDescent="0.2">
      <c r="Q932" s="607">
        <v>290</v>
      </c>
    </row>
    <row r="933" spans="17:17" x14ac:dyDescent="0.2">
      <c r="Q933" s="607" t="s">
        <v>28</v>
      </c>
    </row>
    <row r="945" spans="17:17" x14ac:dyDescent="0.2">
      <c r="Q945" s="607" t="s">
        <v>29</v>
      </c>
    </row>
    <row r="948" spans="17:17" x14ac:dyDescent="0.2">
      <c r="Q948" s="607" t="s">
        <v>1016</v>
      </c>
    </row>
    <row r="950" spans="17:17" x14ac:dyDescent="0.2">
      <c r="Q950" s="607" t="e">
        <v>#N/A</v>
      </c>
    </row>
    <row r="955" spans="17:17" x14ac:dyDescent="0.2">
      <c r="Q955" s="607" t="s">
        <v>32</v>
      </c>
    </row>
    <row r="969" spans="17:17" x14ac:dyDescent="0.2">
      <c r="Q969" s="607">
        <v>0</v>
      </c>
    </row>
    <row r="970" spans="17:17" x14ac:dyDescent="0.2">
      <c r="Q970" s="607">
        <v>0</v>
      </c>
    </row>
    <row r="971" spans="17:17" x14ac:dyDescent="0.2">
      <c r="Q971" s="607">
        <v>0</v>
      </c>
    </row>
    <row r="972" spans="17:17" x14ac:dyDescent="0.2">
      <c r="Q972" s="607">
        <v>0</v>
      </c>
    </row>
    <row r="973" spans="17:17" x14ac:dyDescent="0.2">
      <c r="Q973" s="607">
        <v>0</v>
      </c>
    </row>
    <row r="974" spans="17:17" x14ac:dyDescent="0.2">
      <c r="Q974" s="607" t="s">
        <v>27</v>
      </c>
    </row>
    <row r="977" spans="17:17" x14ac:dyDescent="0.2">
      <c r="Q977" s="607">
        <v>3</v>
      </c>
    </row>
    <row r="978" spans="17:17" x14ac:dyDescent="0.2">
      <c r="Q978" s="607" t="s">
        <v>28</v>
      </c>
    </row>
    <row r="991" spans="17:17" x14ac:dyDescent="0.2">
      <c r="Q991" s="607" t="s">
        <v>29</v>
      </c>
    </row>
    <row r="994" spans="17:17" x14ac:dyDescent="0.2">
      <c r="Q994" s="607" t="s">
        <v>1016</v>
      </c>
    </row>
    <row r="996" spans="17:17" x14ac:dyDescent="0.2">
      <c r="Q996" s="607" t="e">
        <v>#N/A</v>
      </c>
    </row>
    <row r="1001" spans="17:17" x14ac:dyDescent="0.2">
      <c r="Q1001" s="607" t="s">
        <v>32</v>
      </c>
    </row>
    <row r="1015" spans="17:17" x14ac:dyDescent="0.2">
      <c r="Q1015" s="607">
        <v>0</v>
      </c>
    </row>
    <row r="1016" spans="17:17" x14ac:dyDescent="0.2">
      <c r="Q1016" s="607">
        <v>0</v>
      </c>
    </row>
    <row r="1017" spans="17:17" x14ac:dyDescent="0.2">
      <c r="Q1017" s="607">
        <v>0</v>
      </c>
    </row>
    <row r="1018" spans="17:17" x14ac:dyDescent="0.2">
      <c r="Q1018" s="607">
        <v>0</v>
      </c>
    </row>
    <row r="1019" spans="17:17" x14ac:dyDescent="0.2">
      <c r="Q1019" s="607">
        <v>0</v>
      </c>
    </row>
    <row r="1020" spans="17:17" x14ac:dyDescent="0.2">
      <c r="Q1020" s="607" t="s">
        <v>27</v>
      </c>
    </row>
    <row r="1023" spans="17:17" x14ac:dyDescent="0.2">
      <c r="Q1023" s="607">
        <v>3</v>
      </c>
    </row>
    <row r="1024" spans="17:17" x14ac:dyDescent="0.2">
      <c r="Q1024" s="607" t="s">
        <v>28</v>
      </c>
    </row>
    <row r="1037" spans="17:17" x14ac:dyDescent="0.2">
      <c r="Q1037" s="607" t="s">
        <v>29</v>
      </c>
    </row>
    <row r="1041" spans="17:17" x14ac:dyDescent="0.2">
      <c r="Q1041" s="607" t="s">
        <v>1016</v>
      </c>
    </row>
    <row r="1043" spans="17:17" x14ac:dyDescent="0.2">
      <c r="Q1043" s="607" t="e">
        <v>#N/A</v>
      </c>
    </row>
    <row r="1048" spans="17:17" x14ac:dyDescent="0.2">
      <c r="Q1048" s="607" t="s">
        <v>32</v>
      </c>
    </row>
    <row r="1063" spans="17:17" x14ac:dyDescent="0.2">
      <c r="Q1063" s="607">
        <v>0</v>
      </c>
    </row>
    <row r="1064" spans="17:17" x14ac:dyDescent="0.2">
      <c r="Q1064" s="607">
        <v>0</v>
      </c>
    </row>
    <row r="1065" spans="17:17" x14ac:dyDescent="0.2">
      <c r="Q1065" s="607">
        <v>0</v>
      </c>
    </row>
    <row r="1066" spans="17:17" x14ac:dyDescent="0.2">
      <c r="Q1066" s="607">
        <v>0</v>
      </c>
    </row>
    <row r="1067" spans="17:17" x14ac:dyDescent="0.2">
      <c r="Q1067" s="607">
        <v>0</v>
      </c>
    </row>
    <row r="1068" spans="17:17" x14ac:dyDescent="0.2">
      <c r="Q1068" s="607" t="s">
        <v>27</v>
      </c>
    </row>
    <row r="1071" spans="17:17" x14ac:dyDescent="0.2">
      <c r="Q1071" s="607">
        <v>7</v>
      </c>
    </row>
    <row r="1072" spans="17:17" x14ac:dyDescent="0.2">
      <c r="Q1072" s="607" t="s">
        <v>28</v>
      </c>
    </row>
    <row r="1080" spans="17:17" x14ac:dyDescent="0.2">
      <c r="Q1080" s="607" t="s">
        <v>29</v>
      </c>
    </row>
    <row r="1084" spans="17:17" x14ac:dyDescent="0.2">
      <c r="Q1084" s="607" t="s">
        <v>1016</v>
      </c>
    </row>
    <row r="1086" spans="17:17" x14ac:dyDescent="0.2">
      <c r="Q1086" s="607" t="e">
        <v>#N/A</v>
      </c>
    </row>
    <row r="1091" spans="17:17" x14ac:dyDescent="0.2">
      <c r="Q1091" s="607" t="s">
        <v>32</v>
      </c>
    </row>
    <row r="1106" spans="17:17" x14ac:dyDescent="0.2">
      <c r="Q1106" s="607">
        <v>0</v>
      </c>
    </row>
    <row r="1107" spans="17:17" x14ac:dyDescent="0.2">
      <c r="Q1107" s="607">
        <v>0</v>
      </c>
    </row>
    <row r="1108" spans="17:17" x14ac:dyDescent="0.2">
      <c r="Q1108" s="607">
        <v>0</v>
      </c>
    </row>
    <row r="1109" spans="17:17" x14ac:dyDescent="0.2">
      <c r="Q1109" s="607">
        <v>0</v>
      </c>
    </row>
    <row r="1110" spans="17:17" x14ac:dyDescent="0.2">
      <c r="Q1110" s="607">
        <v>0</v>
      </c>
    </row>
    <row r="1111" spans="17:17" x14ac:dyDescent="0.2">
      <c r="Q1111" s="607" t="s">
        <v>27</v>
      </c>
    </row>
    <row r="1114" spans="17:17" x14ac:dyDescent="0.2">
      <c r="Q1114" s="607">
        <v>5</v>
      </c>
    </row>
    <row r="1115" spans="17:17" x14ac:dyDescent="0.2">
      <c r="Q1115" s="607" t="s">
        <v>28</v>
      </c>
    </row>
    <row r="1126" spans="17:17" x14ac:dyDescent="0.2">
      <c r="Q1126" s="607" t="s">
        <v>29</v>
      </c>
    </row>
    <row r="1130" spans="17:17" x14ac:dyDescent="0.2">
      <c r="Q1130" s="607" t="s">
        <v>1016</v>
      </c>
    </row>
    <row r="1132" spans="17:17" x14ac:dyDescent="0.2">
      <c r="Q1132" s="607" t="e">
        <v>#N/A</v>
      </c>
    </row>
    <row r="1137" spans="17:17" x14ac:dyDescent="0.2">
      <c r="Q1137" s="607" t="s">
        <v>32</v>
      </c>
    </row>
    <row r="1152" spans="17:17" x14ac:dyDescent="0.2">
      <c r="Q1152" s="607">
        <v>0</v>
      </c>
    </row>
    <row r="1153" spans="17:17" x14ac:dyDescent="0.2">
      <c r="Q1153" s="607">
        <v>0</v>
      </c>
    </row>
    <row r="1154" spans="17:17" x14ac:dyDescent="0.2">
      <c r="Q1154" s="607">
        <v>0</v>
      </c>
    </row>
    <row r="1155" spans="17:17" x14ac:dyDescent="0.2">
      <c r="Q1155" s="607">
        <v>0</v>
      </c>
    </row>
    <row r="1156" spans="17:17" x14ac:dyDescent="0.2">
      <c r="Q1156" s="607">
        <v>0</v>
      </c>
    </row>
    <row r="1157" spans="17:17" x14ac:dyDescent="0.2">
      <c r="Q1157" s="607" t="s">
        <v>27</v>
      </c>
    </row>
    <row r="1160" spans="17:17" x14ac:dyDescent="0.2">
      <c r="Q1160" s="607">
        <v>3</v>
      </c>
    </row>
    <row r="1161" spans="17:17" x14ac:dyDescent="0.2">
      <c r="Q1161" s="607" t="s">
        <v>28</v>
      </c>
    </row>
    <row r="1170" spans="17:17" x14ac:dyDescent="0.2">
      <c r="Q1170" s="607" t="s">
        <v>29</v>
      </c>
    </row>
    <row r="1174" spans="17:17" x14ac:dyDescent="0.2">
      <c r="Q1174" s="607" t="s">
        <v>1016</v>
      </c>
    </row>
    <row r="1176" spans="17:17" x14ac:dyDescent="0.2">
      <c r="Q1176" s="607" t="e">
        <v>#N/A</v>
      </c>
    </row>
    <row r="1181" spans="17:17" x14ac:dyDescent="0.2">
      <c r="Q1181" s="607" t="s">
        <v>32</v>
      </c>
    </row>
    <row r="1198" spans="17:17" x14ac:dyDescent="0.2">
      <c r="Q1198" s="607">
        <v>0</v>
      </c>
    </row>
    <row r="1199" spans="17:17" x14ac:dyDescent="0.2">
      <c r="Q1199" s="607">
        <v>0</v>
      </c>
    </row>
    <row r="1200" spans="17:17" x14ac:dyDescent="0.2">
      <c r="Q1200" s="607">
        <v>0</v>
      </c>
    </row>
    <row r="1201" spans="17:17" x14ac:dyDescent="0.2">
      <c r="Q1201" s="607">
        <v>0</v>
      </c>
    </row>
    <row r="1202" spans="17:17" x14ac:dyDescent="0.2">
      <c r="Q1202" s="607">
        <v>0</v>
      </c>
    </row>
    <row r="1203" spans="17:17" x14ac:dyDescent="0.2">
      <c r="Q1203" s="607" t="s">
        <v>27</v>
      </c>
    </row>
    <row r="1206" spans="17:17" x14ac:dyDescent="0.2">
      <c r="Q1206" s="607">
        <v>0.2</v>
      </c>
    </row>
    <row r="1207" spans="17:17" x14ac:dyDescent="0.2">
      <c r="Q1207" s="607" t="s">
        <v>28</v>
      </c>
    </row>
    <row r="1220" spans="17:17" x14ac:dyDescent="0.2">
      <c r="Q1220" s="607" t="s">
        <v>29</v>
      </c>
    </row>
    <row r="1224" spans="17:17" x14ac:dyDescent="0.2">
      <c r="Q1224" s="607" t="s">
        <v>1016</v>
      </c>
    </row>
    <row r="1226" spans="17:17" x14ac:dyDescent="0.2">
      <c r="Q1226" s="607" t="e">
        <v>#N/A</v>
      </c>
    </row>
    <row r="1231" spans="17:17" x14ac:dyDescent="0.2">
      <c r="Q1231" s="607" t="s">
        <v>32</v>
      </c>
    </row>
    <row r="1249" spans="17:17" x14ac:dyDescent="0.2">
      <c r="Q1249" s="607">
        <v>0</v>
      </c>
    </row>
    <row r="1250" spans="17:17" x14ac:dyDescent="0.2">
      <c r="Q1250" s="607">
        <v>0</v>
      </c>
    </row>
    <row r="1251" spans="17:17" x14ac:dyDescent="0.2">
      <c r="Q1251" s="607">
        <v>0</v>
      </c>
    </row>
    <row r="1252" spans="17:17" x14ac:dyDescent="0.2">
      <c r="Q1252" s="607">
        <v>0</v>
      </c>
    </row>
    <row r="1253" spans="17:17" x14ac:dyDescent="0.2">
      <c r="Q1253" s="607">
        <v>0</v>
      </c>
    </row>
    <row r="1254" spans="17:17" x14ac:dyDescent="0.2">
      <c r="Q1254" s="607" t="s">
        <v>27</v>
      </c>
    </row>
    <row r="1257" spans="17:17" x14ac:dyDescent="0.2">
      <c r="Q1257" s="607">
        <v>0.2</v>
      </c>
    </row>
    <row r="1258" spans="17:17" x14ac:dyDescent="0.2">
      <c r="Q1258" s="607" t="s">
        <v>28</v>
      </c>
    </row>
    <row r="1270" spans="17:17" x14ac:dyDescent="0.2">
      <c r="Q1270" s="607" t="s">
        <v>29</v>
      </c>
    </row>
    <row r="1274" spans="17:17" x14ac:dyDescent="0.2">
      <c r="Q1274" s="607" t="s">
        <v>1016</v>
      </c>
    </row>
    <row r="1276" spans="17:17" x14ac:dyDescent="0.2">
      <c r="Q1276" s="607" t="e">
        <v>#N/A</v>
      </c>
    </row>
    <row r="1280" spans="17:17" x14ac:dyDescent="0.2">
      <c r="Q1280" s="607" t="s">
        <v>32</v>
      </c>
    </row>
    <row r="1297" spans="17:17" x14ac:dyDescent="0.2">
      <c r="Q1297" s="607">
        <v>0</v>
      </c>
    </row>
    <row r="1298" spans="17:17" x14ac:dyDescent="0.2">
      <c r="Q1298" s="607">
        <v>0</v>
      </c>
    </row>
    <row r="1299" spans="17:17" x14ac:dyDescent="0.2">
      <c r="Q1299" s="607">
        <v>0</v>
      </c>
    </row>
    <row r="1300" spans="17:17" x14ac:dyDescent="0.2">
      <c r="Q1300" s="607">
        <v>0</v>
      </c>
    </row>
    <row r="1301" spans="17:17" x14ac:dyDescent="0.2">
      <c r="Q1301" s="607">
        <v>0</v>
      </c>
    </row>
    <row r="1302" spans="17:17" x14ac:dyDescent="0.2">
      <c r="Q1302" s="607" t="s">
        <v>27</v>
      </c>
    </row>
    <row r="1305" spans="17:17" x14ac:dyDescent="0.2">
      <c r="Q1305" s="607">
        <v>0.2</v>
      </c>
    </row>
    <row r="1306" spans="17:17" x14ac:dyDescent="0.2">
      <c r="Q1306" s="607" t="s">
        <v>28</v>
      </c>
    </row>
    <row r="1319" spans="17:17" x14ac:dyDescent="0.2">
      <c r="Q1319" s="607" t="s">
        <v>29</v>
      </c>
    </row>
    <row r="1323" spans="17:17" x14ac:dyDescent="0.2">
      <c r="Q1323" s="607" t="s">
        <v>1016</v>
      </c>
    </row>
    <row r="1325" spans="17:17" x14ac:dyDescent="0.2">
      <c r="Q1325" s="607" t="e">
        <v>#N/A</v>
      </c>
    </row>
    <row r="1329" spans="17:17" x14ac:dyDescent="0.2">
      <c r="Q1329" s="607" t="s">
        <v>32</v>
      </c>
    </row>
    <row r="1346" spans="17:17" x14ac:dyDescent="0.2">
      <c r="Q1346" s="607">
        <v>0</v>
      </c>
    </row>
    <row r="1347" spans="17:17" x14ac:dyDescent="0.2">
      <c r="Q1347" s="607">
        <v>0</v>
      </c>
    </row>
    <row r="1348" spans="17:17" x14ac:dyDescent="0.2">
      <c r="Q1348" s="607">
        <v>0</v>
      </c>
    </row>
    <row r="1349" spans="17:17" x14ac:dyDescent="0.2">
      <c r="Q1349" s="607">
        <v>0</v>
      </c>
    </row>
    <row r="1350" spans="17:17" x14ac:dyDescent="0.2">
      <c r="Q1350" s="607">
        <v>0</v>
      </c>
    </row>
    <row r="1351" spans="17:17" x14ac:dyDescent="0.2">
      <c r="Q1351" s="607" t="s">
        <v>27</v>
      </c>
    </row>
    <row r="1354" spans="17:17" x14ac:dyDescent="0.2">
      <c r="Q1354" s="607">
        <v>600</v>
      </c>
    </row>
    <row r="1355" spans="17:17" x14ac:dyDescent="0.2">
      <c r="Q1355" s="607" t="s">
        <v>28</v>
      </c>
    </row>
    <row r="1368" spans="17:17" x14ac:dyDescent="0.2">
      <c r="Q1368" s="607" t="s">
        <v>29</v>
      </c>
    </row>
    <row r="1372" spans="17:17" x14ac:dyDescent="0.2">
      <c r="Q1372" s="607" t="s">
        <v>1016</v>
      </c>
    </row>
    <row r="1374" spans="17:17" x14ac:dyDescent="0.2">
      <c r="Q1374" s="607" t="e">
        <v>#N/A</v>
      </c>
    </row>
    <row r="1378" spans="17:17" x14ac:dyDescent="0.2">
      <c r="Q1378" s="607" t="s">
        <v>32</v>
      </c>
    </row>
    <row r="1395" spans="17:17" x14ac:dyDescent="0.2">
      <c r="Q1395" s="607">
        <v>0</v>
      </c>
    </row>
    <row r="1396" spans="17:17" x14ac:dyDescent="0.2">
      <c r="Q1396" s="607">
        <v>0</v>
      </c>
    </row>
    <row r="1397" spans="17:17" x14ac:dyDescent="0.2">
      <c r="Q1397" s="607">
        <v>0</v>
      </c>
    </row>
    <row r="1398" spans="17:17" x14ac:dyDescent="0.2">
      <c r="Q1398" s="607">
        <v>0</v>
      </c>
    </row>
    <row r="1399" spans="17:17" x14ac:dyDescent="0.2">
      <c r="Q1399" s="607">
        <v>0</v>
      </c>
    </row>
    <row r="1400" spans="17:17" x14ac:dyDescent="0.2">
      <c r="Q1400" s="607" t="s">
        <v>27</v>
      </c>
    </row>
    <row r="1403" spans="17:17" x14ac:dyDescent="0.2">
      <c r="Q1403" s="607">
        <v>8.5000000000000006E-3</v>
      </c>
    </row>
    <row r="1404" spans="17:17" x14ac:dyDescent="0.2">
      <c r="Q1404" s="607" t="s">
        <v>28</v>
      </c>
    </row>
    <row r="1416" spans="17:17" x14ac:dyDescent="0.2">
      <c r="Q1416" s="607" t="s">
        <v>29</v>
      </c>
    </row>
    <row r="1420" spans="17:17" x14ac:dyDescent="0.2">
      <c r="Q1420" s="607" t="s">
        <v>1016</v>
      </c>
    </row>
    <row r="1422" spans="17:17" x14ac:dyDescent="0.2">
      <c r="Q1422" s="607"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7" customFormat="1" x14ac:dyDescent="0.2">
      <c r="A1" s="607" t="s">
        <v>2075</v>
      </c>
    </row>
    <row r="2" spans="1:6" s="607" customFormat="1" x14ac:dyDescent="0.2">
      <c r="A2" s="607" t="s">
        <v>2076</v>
      </c>
    </row>
    <row r="3" spans="1:6" s="607" customFormat="1" x14ac:dyDescent="0.2">
      <c r="A3" s="607" t="s">
        <v>2077</v>
      </c>
    </row>
    <row r="4" spans="1:6" s="607" customFormat="1" x14ac:dyDescent="0.2"/>
    <row r="5" spans="1:6" s="607" customFormat="1" x14ac:dyDescent="0.2"/>
    <row r="6" spans="1:6" ht="15.75" x14ac:dyDescent="0.2">
      <c r="B6" s="763" t="s">
        <v>1857</v>
      </c>
      <c r="C6" s="763"/>
      <c r="D6" s="763"/>
      <c r="E6" s="763"/>
      <c r="F6" s="763"/>
    </row>
    <row r="8" spans="1:6" s="75" customFormat="1" x14ac:dyDescent="0.2">
      <c r="A8" s="600"/>
      <c r="B8" s="111" t="s">
        <v>1856</v>
      </c>
      <c r="C8" s="111" t="s">
        <v>1817</v>
      </c>
      <c r="D8" s="111" t="s">
        <v>1</v>
      </c>
      <c r="E8" s="762" t="s">
        <v>1858</v>
      </c>
      <c r="F8" s="762"/>
    </row>
    <row r="9" spans="1:6" x14ac:dyDescent="0.2">
      <c r="B9" s="613"/>
      <c r="C9" s="613"/>
      <c r="D9" s="613"/>
      <c r="E9" s="614"/>
      <c r="F9" s="615"/>
    </row>
    <row r="10" spans="1:6" x14ac:dyDescent="0.2">
      <c r="A10" s="600">
        <v>1</v>
      </c>
      <c r="B10" s="111">
        <f t="shared" ref="B10:B47" si="0">IFERROR(VLOOKUP(A10,T_NumeroItem,2,FALSE),"")</f>
        <v>1</v>
      </c>
      <c r="C10" s="502" t="str">
        <f t="shared" ref="C10:C47" si="1">IFERROR(VLOOKUP(B10,T_Datos,2,FALSE),"")</f>
        <v>Desbosque, destronque y limpieza del terreno</v>
      </c>
      <c r="D10" s="111" t="str">
        <f t="shared" ref="D10:D47" si="2">IFERROR(VLOOKUP(B10,T_Datos,3,FALSE),"")</f>
        <v>Ha</v>
      </c>
      <c r="E10" s="614"/>
      <c r="F10" s="616" t="str">
        <f>D10&amp;"/dia"</f>
        <v>Ha/dia</v>
      </c>
    </row>
    <row r="11" spans="1:6" x14ac:dyDescent="0.2">
      <c r="A11" s="600">
        <v>2</v>
      </c>
      <c r="B11" s="111">
        <f t="shared" si="0"/>
        <v>2</v>
      </c>
      <c r="C11" s="502" t="str">
        <f t="shared" si="1"/>
        <v>Extracción de Arboles  y Tocones (diam.&gt;0,60 m y &lt;1,00 m)</v>
      </c>
      <c r="D11" s="111" t="str">
        <f t="shared" si="2"/>
        <v>Un.</v>
      </c>
      <c r="E11" s="614"/>
      <c r="F11" s="616" t="str">
        <f t="shared" ref="F11:F47" si="3">D11&amp;"/dia"</f>
        <v>Un./dia</v>
      </c>
    </row>
    <row r="12" spans="1:6" x14ac:dyDescent="0.2">
      <c r="A12" s="600">
        <v>3</v>
      </c>
      <c r="B12" s="111">
        <f t="shared" si="0"/>
        <v>3</v>
      </c>
      <c r="C12" s="502" t="str">
        <f t="shared" si="1"/>
        <v>Excavación No Clasificada</v>
      </c>
      <c r="D12" s="111" t="str">
        <f t="shared" si="2"/>
        <v>m3</v>
      </c>
      <c r="E12" s="614"/>
      <c r="F12" s="616" t="str">
        <f t="shared" si="3"/>
        <v>m3/dia</v>
      </c>
    </row>
    <row r="13" spans="1:6" x14ac:dyDescent="0.2">
      <c r="A13" s="600">
        <v>4</v>
      </c>
      <c r="B13" s="111">
        <f t="shared" si="0"/>
        <v>4</v>
      </c>
      <c r="C13" s="502" t="str">
        <f t="shared" si="1"/>
        <v>Construcción de Subbase Estabilizada Granular</v>
      </c>
      <c r="D13" s="111" t="str">
        <f t="shared" si="2"/>
        <v>m3</v>
      </c>
      <c r="E13" s="614"/>
      <c r="F13" s="616" t="str">
        <f t="shared" si="3"/>
        <v>m3/dia</v>
      </c>
    </row>
    <row r="14" spans="1:6" x14ac:dyDescent="0.2">
      <c r="A14" s="600">
        <v>5</v>
      </c>
      <c r="B14" s="111">
        <f t="shared" si="0"/>
        <v>5</v>
      </c>
      <c r="C14" s="502" t="str">
        <f t="shared" si="1"/>
        <v>Construcción de Base Estabilizada Granular</v>
      </c>
      <c r="D14" s="111" t="str">
        <f t="shared" si="2"/>
        <v>m3</v>
      </c>
      <c r="E14" s="614"/>
      <c r="F14" s="616" t="str">
        <f t="shared" si="3"/>
        <v>m3/dia</v>
      </c>
    </row>
    <row r="15" spans="1:6" x14ac:dyDescent="0.2">
      <c r="A15" s="600">
        <v>6</v>
      </c>
      <c r="B15" s="111">
        <f t="shared" si="0"/>
        <v>6</v>
      </c>
      <c r="C15" s="502" t="str">
        <f t="shared" si="1"/>
        <v>Cumplimiento Manejo Ambiental</v>
      </c>
      <c r="D15" s="111" t="str">
        <f t="shared" si="2"/>
        <v>mes</v>
      </c>
      <c r="E15" s="614"/>
      <c r="F15" s="616" t="str">
        <f t="shared" si="3"/>
        <v>mes/dia</v>
      </c>
    </row>
    <row r="16" spans="1:6" x14ac:dyDescent="0.2">
      <c r="A16" s="600">
        <v>7</v>
      </c>
      <c r="B16" s="111">
        <f t="shared" si="0"/>
        <v>7</v>
      </c>
      <c r="C16" s="502" t="str">
        <f t="shared" si="1"/>
        <v xml:space="preserve">Movilidad Para el Personal de la Dirección Provincial de Vialidad </v>
      </c>
      <c r="D16" s="111" t="str">
        <f t="shared" si="2"/>
        <v>-</v>
      </c>
      <c r="E16" s="614"/>
      <c r="F16" s="616" t="str">
        <f t="shared" si="3"/>
        <v>-/dia</v>
      </c>
    </row>
    <row r="17" spans="1:6" x14ac:dyDescent="0.2">
      <c r="A17" s="600">
        <v>8</v>
      </c>
      <c r="B17" s="111" t="str">
        <f t="shared" si="0"/>
        <v>7.1</v>
      </c>
      <c r="C17" s="502" t="str">
        <f t="shared" si="1"/>
        <v>A) - Cuota Mensual</v>
      </c>
      <c r="D17" s="111" t="str">
        <f t="shared" si="2"/>
        <v>mes</v>
      </c>
      <c r="E17" s="614"/>
      <c r="F17" s="616" t="str">
        <f t="shared" si="3"/>
        <v>mes/dia</v>
      </c>
    </row>
    <row r="18" spans="1:6" x14ac:dyDescent="0.2">
      <c r="A18" s="600">
        <v>9</v>
      </c>
      <c r="B18" s="111" t="str">
        <f t="shared" si="0"/>
        <v>7.2</v>
      </c>
      <c r="C18" s="502" t="str">
        <f t="shared" si="1"/>
        <v>B)- Adicional por Km.</v>
      </c>
      <c r="D18" s="111" t="str">
        <f t="shared" si="2"/>
        <v>Km.</v>
      </c>
      <c r="E18" s="614"/>
      <c r="F18" s="616" t="str">
        <f t="shared" si="3"/>
        <v>Km./dia</v>
      </c>
    </row>
    <row r="19" spans="1:6" x14ac:dyDescent="0.2">
      <c r="A19" s="600">
        <v>10</v>
      </c>
      <c r="B19" s="111">
        <f t="shared" si="0"/>
        <v>8</v>
      </c>
      <c r="C19" s="502" t="str">
        <f t="shared" si="1"/>
        <v>Movilización de Obra</v>
      </c>
      <c r="D19" s="111" t="str">
        <f t="shared" si="2"/>
        <v>gl</v>
      </c>
      <c r="E19" s="614"/>
      <c r="F19" s="616" t="str">
        <f t="shared" si="3"/>
        <v>gl/dia</v>
      </c>
    </row>
    <row r="20" spans="1:6" x14ac:dyDescent="0.2">
      <c r="A20" s="600">
        <v>11</v>
      </c>
      <c r="B20" s="111" t="str">
        <f t="shared" si="0"/>
        <v/>
      </c>
      <c r="C20" s="502" t="str">
        <f t="shared" si="1"/>
        <v/>
      </c>
      <c r="D20" s="111" t="str">
        <f t="shared" si="2"/>
        <v/>
      </c>
      <c r="E20" s="614"/>
      <c r="F20" s="616" t="str">
        <f t="shared" si="3"/>
        <v>/dia</v>
      </c>
    </row>
    <row r="21" spans="1:6" x14ac:dyDescent="0.2">
      <c r="A21" s="600">
        <v>12</v>
      </c>
      <c r="B21" s="111" t="str">
        <f t="shared" si="0"/>
        <v/>
      </c>
      <c r="C21" s="502" t="str">
        <f t="shared" si="1"/>
        <v/>
      </c>
      <c r="D21" s="111" t="str">
        <f t="shared" si="2"/>
        <v/>
      </c>
      <c r="E21" s="614"/>
      <c r="F21" s="616" t="str">
        <f t="shared" si="3"/>
        <v>/dia</v>
      </c>
    </row>
    <row r="22" spans="1:6" x14ac:dyDescent="0.2">
      <c r="A22" s="600">
        <v>13</v>
      </c>
      <c r="B22" s="111" t="str">
        <f t="shared" si="0"/>
        <v/>
      </c>
      <c r="C22" s="502" t="str">
        <f t="shared" si="1"/>
        <v/>
      </c>
      <c r="D22" s="111" t="str">
        <f t="shared" si="2"/>
        <v/>
      </c>
      <c r="E22" s="614"/>
      <c r="F22" s="616" t="str">
        <f t="shared" si="3"/>
        <v>/dia</v>
      </c>
    </row>
    <row r="23" spans="1:6" x14ac:dyDescent="0.2">
      <c r="A23" s="600">
        <v>14</v>
      </c>
      <c r="B23" s="111" t="str">
        <f t="shared" si="0"/>
        <v/>
      </c>
      <c r="C23" s="502" t="str">
        <f t="shared" si="1"/>
        <v/>
      </c>
      <c r="D23" s="111" t="str">
        <f t="shared" si="2"/>
        <v/>
      </c>
      <c r="E23" s="614"/>
      <c r="F23" s="616" t="str">
        <f t="shared" si="3"/>
        <v>/dia</v>
      </c>
    </row>
    <row r="24" spans="1:6" x14ac:dyDescent="0.2">
      <c r="A24" s="600">
        <v>15</v>
      </c>
      <c r="B24" s="111" t="str">
        <f t="shared" si="0"/>
        <v/>
      </c>
      <c r="C24" s="502" t="str">
        <f t="shared" si="1"/>
        <v/>
      </c>
      <c r="D24" s="111" t="str">
        <f t="shared" si="2"/>
        <v/>
      </c>
      <c r="E24" s="614"/>
      <c r="F24" s="616" t="str">
        <f t="shared" si="3"/>
        <v>/dia</v>
      </c>
    </row>
    <row r="25" spans="1:6" x14ac:dyDescent="0.2">
      <c r="A25" s="600">
        <v>16</v>
      </c>
      <c r="B25" s="111" t="str">
        <f t="shared" si="0"/>
        <v/>
      </c>
      <c r="C25" s="502" t="str">
        <f t="shared" si="1"/>
        <v/>
      </c>
      <c r="D25" s="111" t="str">
        <f t="shared" si="2"/>
        <v/>
      </c>
      <c r="E25" s="614"/>
      <c r="F25" s="616" t="str">
        <f t="shared" si="3"/>
        <v>/dia</v>
      </c>
    </row>
    <row r="26" spans="1:6" x14ac:dyDescent="0.2">
      <c r="A26" s="600">
        <v>17</v>
      </c>
      <c r="B26" s="111" t="str">
        <f t="shared" si="0"/>
        <v/>
      </c>
      <c r="C26" s="502" t="str">
        <f t="shared" si="1"/>
        <v/>
      </c>
      <c r="D26" s="111" t="str">
        <f t="shared" si="2"/>
        <v/>
      </c>
      <c r="E26" s="614"/>
      <c r="F26" s="616" t="str">
        <f t="shared" si="3"/>
        <v>/dia</v>
      </c>
    </row>
    <row r="27" spans="1:6" x14ac:dyDescent="0.2">
      <c r="A27" s="600">
        <v>18</v>
      </c>
      <c r="B27" s="111" t="str">
        <f t="shared" si="0"/>
        <v/>
      </c>
      <c r="C27" s="502" t="str">
        <f t="shared" si="1"/>
        <v/>
      </c>
      <c r="D27" s="111" t="str">
        <f t="shared" si="2"/>
        <v/>
      </c>
      <c r="E27" s="614"/>
      <c r="F27" s="616" t="str">
        <f t="shared" si="3"/>
        <v>/dia</v>
      </c>
    </row>
    <row r="28" spans="1:6" x14ac:dyDescent="0.2">
      <c r="A28" s="600">
        <v>19</v>
      </c>
      <c r="B28" s="111" t="str">
        <f t="shared" si="0"/>
        <v/>
      </c>
      <c r="C28" s="502" t="str">
        <f t="shared" si="1"/>
        <v/>
      </c>
      <c r="D28" s="111" t="str">
        <f t="shared" si="2"/>
        <v/>
      </c>
      <c r="E28" s="614"/>
      <c r="F28" s="616" t="str">
        <f t="shared" si="3"/>
        <v>/dia</v>
      </c>
    </row>
    <row r="29" spans="1:6" x14ac:dyDescent="0.2">
      <c r="A29" s="600">
        <v>20</v>
      </c>
      <c r="B29" s="111" t="str">
        <f t="shared" si="0"/>
        <v/>
      </c>
      <c r="C29" s="502" t="str">
        <f t="shared" si="1"/>
        <v/>
      </c>
      <c r="D29" s="111" t="str">
        <f t="shared" si="2"/>
        <v/>
      </c>
      <c r="E29" s="614"/>
      <c r="F29" s="616" t="str">
        <f t="shared" si="3"/>
        <v>/dia</v>
      </c>
    </row>
    <row r="30" spans="1:6" x14ac:dyDescent="0.2">
      <c r="A30" s="600">
        <v>21</v>
      </c>
      <c r="B30" s="111" t="str">
        <f t="shared" si="0"/>
        <v/>
      </c>
      <c r="C30" s="502" t="str">
        <f t="shared" si="1"/>
        <v/>
      </c>
      <c r="D30" s="111" t="str">
        <f t="shared" si="2"/>
        <v/>
      </c>
      <c r="E30" s="614"/>
      <c r="F30" s="616" t="str">
        <f t="shared" si="3"/>
        <v>/dia</v>
      </c>
    </row>
    <row r="31" spans="1:6" x14ac:dyDescent="0.2">
      <c r="A31" s="600">
        <v>22</v>
      </c>
      <c r="B31" s="111" t="str">
        <f t="shared" si="0"/>
        <v/>
      </c>
      <c r="C31" s="502" t="str">
        <f t="shared" si="1"/>
        <v/>
      </c>
      <c r="D31" s="111" t="str">
        <f t="shared" si="2"/>
        <v/>
      </c>
      <c r="E31" s="614"/>
      <c r="F31" s="616" t="str">
        <f t="shared" si="3"/>
        <v>/dia</v>
      </c>
    </row>
    <row r="32" spans="1:6" x14ac:dyDescent="0.2">
      <c r="A32" s="600">
        <v>23</v>
      </c>
      <c r="B32" s="111" t="str">
        <f t="shared" si="0"/>
        <v/>
      </c>
      <c r="C32" s="502" t="str">
        <f t="shared" si="1"/>
        <v/>
      </c>
      <c r="D32" s="111" t="str">
        <f t="shared" si="2"/>
        <v/>
      </c>
      <c r="E32" s="614"/>
      <c r="F32" s="616" t="str">
        <f t="shared" si="3"/>
        <v>/dia</v>
      </c>
    </row>
    <row r="33" spans="1:6" x14ac:dyDescent="0.2">
      <c r="A33" s="600">
        <v>24</v>
      </c>
      <c r="B33" s="111" t="str">
        <f t="shared" si="0"/>
        <v/>
      </c>
      <c r="C33" s="502" t="str">
        <f t="shared" si="1"/>
        <v/>
      </c>
      <c r="D33" s="111" t="str">
        <f t="shared" si="2"/>
        <v/>
      </c>
      <c r="E33" s="614"/>
      <c r="F33" s="616" t="str">
        <f t="shared" si="3"/>
        <v>/dia</v>
      </c>
    </row>
    <row r="34" spans="1:6" x14ac:dyDescent="0.2">
      <c r="A34" s="600">
        <v>25</v>
      </c>
      <c r="B34" s="111" t="str">
        <f t="shared" si="0"/>
        <v/>
      </c>
      <c r="C34" s="502" t="str">
        <f t="shared" si="1"/>
        <v/>
      </c>
      <c r="D34" s="111" t="str">
        <f t="shared" si="2"/>
        <v/>
      </c>
      <c r="E34" s="614"/>
      <c r="F34" s="616" t="str">
        <f t="shared" si="3"/>
        <v>/dia</v>
      </c>
    </row>
    <row r="35" spans="1:6" x14ac:dyDescent="0.2">
      <c r="A35" s="600">
        <v>26</v>
      </c>
      <c r="B35" s="111" t="str">
        <f t="shared" si="0"/>
        <v/>
      </c>
      <c r="C35" s="502" t="str">
        <f t="shared" si="1"/>
        <v/>
      </c>
      <c r="D35" s="111" t="str">
        <f t="shared" si="2"/>
        <v/>
      </c>
      <c r="E35" s="614"/>
      <c r="F35" s="616" t="str">
        <f t="shared" si="3"/>
        <v>/dia</v>
      </c>
    </row>
    <row r="36" spans="1:6" x14ac:dyDescent="0.2">
      <c r="A36" s="600">
        <v>27</v>
      </c>
      <c r="B36" s="111" t="str">
        <f t="shared" si="0"/>
        <v/>
      </c>
      <c r="C36" s="502" t="str">
        <f t="shared" si="1"/>
        <v/>
      </c>
      <c r="D36" s="111" t="str">
        <f t="shared" si="2"/>
        <v/>
      </c>
      <c r="E36" s="614"/>
      <c r="F36" s="616" t="str">
        <f t="shared" si="3"/>
        <v>/dia</v>
      </c>
    </row>
    <row r="37" spans="1:6" x14ac:dyDescent="0.2">
      <c r="A37" s="600">
        <v>28</v>
      </c>
      <c r="B37" s="111" t="str">
        <f t="shared" si="0"/>
        <v/>
      </c>
      <c r="C37" s="502" t="str">
        <f t="shared" si="1"/>
        <v/>
      </c>
      <c r="D37" s="111" t="str">
        <f t="shared" si="2"/>
        <v/>
      </c>
      <c r="E37" s="614"/>
      <c r="F37" s="616" t="str">
        <f t="shared" si="3"/>
        <v>/dia</v>
      </c>
    </row>
    <row r="38" spans="1:6" x14ac:dyDescent="0.2">
      <c r="A38" s="600">
        <v>29</v>
      </c>
      <c r="B38" s="111" t="str">
        <f t="shared" si="0"/>
        <v/>
      </c>
      <c r="C38" s="502" t="str">
        <f t="shared" si="1"/>
        <v/>
      </c>
      <c r="D38" s="111" t="str">
        <f t="shared" si="2"/>
        <v/>
      </c>
      <c r="E38" s="614"/>
      <c r="F38" s="616" t="str">
        <f t="shared" si="3"/>
        <v>/dia</v>
      </c>
    </row>
    <row r="39" spans="1:6" x14ac:dyDescent="0.2">
      <c r="A39" s="600">
        <v>30</v>
      </c>
      <c r="B39" s="111" t="str">
        <f t="shared" si="0"/>
        <v/>
      </c>
      <c r="C39" s="502" t="str">
        <f t="shared" si="1"/>
        <v/>
      </c>
      <c r="D39" s="111" t="str">
        <f t="shared" si="2"/>
        <v/>
      </c>
      <c r="E39" s="614"/>
      <c r="F39" s="616" t="str">
        <f t="shared" si="3"/>
        <v>/dia</v>
      </c>
    </row>
    <row r="40" spans="1:6" x14ac:dyDescent="0.2">
      <c r="A40" s="600">
        <v>31</v>
      </c>
      <c r="B40" s="111" t="str">
        <f t="shared" si="0"/>
        <v/>
      </c>
      <c r="C40" s="502" t="str">
        <f t="shared" si="1"/>
        <v/>
      </c>
      <c r="D40" s="111" t="str">
        <f t="shared" si="2"/>
        <v/>
      </c>
      <c r="E40" s="614"/>
      <c r="F40" s="616" t="str">
        <f t="shared" si="3"/>
        <v>/dia</v>
      </c>
    </row>
    <row r="41" spans="1:6" x14ac:dyDescent="0.2">
      <c r="A41" s="600">
        <v>32</v>
      </c>
      <c r="B41" s="111" t="str">
        <f t="shared" si="0"/>
        <v/>
      </c>
      <c r="C41" s="502" t="str">
        <f t="shared" si="1"/>
        <v/>
      </c>
      <c r="D41" s="111" t="str">
        <f t="shared" si="2"/>
        <v/>
      </c>
      <c r="E41" s="614"/>
      <c r="F41" s="616" t="str">
        <f t="shared" si="3"/>
        <v>/dia</v>
      </c>
    </row>
    <row r="42" spans="1:6" x14ac:dyDescent="0.2">
      <c r="A42" s="600">
        <v>33</v>
      </c>
      <c r="B42" s="111" t="str">
        <f t="shared" si="0"/>
        <v/>
      </c>
      <c r="C42" s="502" t="str">
        <f t="shared" si="1"/>
        <v/>
      </c>
      <c r="D42" s="111" t="str">
        <f t="shared" si="2"/>
        <v/>
      </c>
      <c r="E42" s="614"/>
      <c r="F42" s="616" t="str">
        <f t="shared" si="3"/>
        <v>/dia</v>
      </c>
    </row>
    <row r="43" spans="1:6" x14ac:dyDescent="0.2">
      <c r="A43" s="600">
        <v>34</v>
      </c>
      <c r="B43" s="111" t="str">
        <f t="shared" si="0"/>
        <v/>
      </c>
      <c r="C43" s="502" t="str">
        <f t="shared" si="1"/>
        <v/>
      </c>
      <c r="D43" s="111" t="str">
        <f t="shared" si="2"/>
        <v/>
      </c>
      <c r="E43" s="614"/>
      <c r="F43" s="616" t="str">
        <f t="shared" si="3"/>
        <v>/dia</v>
      </c>
    </row>
    <row r="44" spans="1:6" x14ac:dyDescent="0.2">
      <c r="A44" s="600">
        <v>35</v>
      </c>
      <c r="B44" s="111" t="str">
        <f t="shared" si="0"/>
        <v/>
      </c>
      <c r="C44" s="502" t="str">
        <f t="shared" si="1"/>
        <v/>
      </c>
      <c r="D44" s="111" t="str">
        <f t="shared" si="2"/>
        <v/>
      </c>
      <c r="E44" s="614"/>
      <c r="F44" s="616" t="str">
        <f t="shared" si="3"/>
        <v>/dia</v>
      </c>
    </row>
    <row r="45" spans="1:6" x14ac:dyDescent="0.2">
      <c r="A45" s="600">
        <v>36</v>
      </c>
      <c r="B45" s="111" t="str">
        <f t="shared" si="0"/>
        <v/>
      </c>
      <c r="C45" s="502" t="str">
        <f t="shared" si="1"/>
        <v/>
      </c>
      <c r="D45" s="111" t="str">
        <f t="shared" si="2"/>
        <v/>
      </c>
      <c r="E45" s="614"/>
      <c r="F45" s="616" t="str">
        <f t="shared" si="3"/>
        <v>/dia</v>
      </c>
    </row>
    <row r="46" spans="1:6" x14ac:dyDescent="0.2">
      <c r="A46" s="600">
        <v>37</v>
      </c>
      <c r="B46" s="111" t="str">
        <f t="shared" si="0"/>
        <v/>
      </c>
      <c r="C46" s="502" t="str">
        <f t="shared" si="1"/>
        <v/>
      </c>
      <c r="D46" s="111" t="str">
        <f t="shared" si="2"/>
        <v/>
      </c>
      <c r="E46" s="614"/>
      <c r="F46" s="616" t="str">
        <f t="shared" si="3"/>
        <v>/dia</v>
      </c>
    </row>
    <row r="47" spans="1:6" x14ac:dyDescent="0.2">
      <c r="A47" s="600">
        <v>38</v>
      </c>
      <c r="B47" s="111" t="str">
        <f t="shared" si="0"/>
        <v/>
      </c>
      <c r="C47" s="502" t="str">
        <f t="shared" si="1"/>
        <v/>
      </c>
      <c r="D47" s="111" t="str">
        <f t="shared" si="2"/>
        <v/>
      </c>
      <c r="E47" s="614"/>
      <c r="F47" s="61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4" t="str">
        <f>"OBRA: " &amp; UPPER(Obra)</f>
        <v>OBRA: OBRA BÁSICA Y PAVIMENTACIÓN CALLE GÜEMES</v>
      </c>
      <c r="D1" s="764"/>
      <c r="E1" s="764"/>
      <c r="F1" s="764"/>
      <c r="G1" s="764"/>
      <c r="H1" s="764"/>
      <c r="I1" s="764"/>
      <c r="J1" s="764"/>
      <c r="K1" s="764"/>
      <c r="L1" s="764"/>
    </row>
    <row r="2" spans="3:12" ht="23.25" x14ac:dyDescent="0.35">
      <c r="C2" s="764" t="s">
        <v>955</v>
      </c>
      <c r="D2" s="764"/>
      <c r="E2" s="764"/>
      <c r="F2" s="764"/>
      <c r="G2" s="764"/>
      <c r="H2" s="764"/>
      <c r="I2" s="764"/>
      <c r="J2" s="764"/>
      <c r="K2" s="764"/>
      <c r="L2" s="764"/>
    </row>
    <row r="3" spans="3:12" ht="23.25" x14ac:dyDescent="0.35">
      <c r="C3" s="764" t="s">
        <v>956</v>
      </c>
      <c r="D3" s="764"/>
      <c r="E3" s="764"/>
      <c r="F3" s="764"/>
      <c r="G3" s="764"/>
      <c r="H3" s="764"/>
      <c r="I3" s="764"/>
      <c r="J3" s="764"/>
      <c r="K3" s="764"/>
      <c r="L3" s="76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5" t="str">
        <f>"OBRA: " &amp; UPPER(Obra)</f>
        <v>OBRA: OBRA BÁSICA Y PAVIMENTACIÓN CALLE GÜEMES</v>
      </c>
      <c r="D1" s="765"/>
      <c r="E1" s="765"/>
      <c r="F1" s="765"/>
      <c r="G1" s="765"/>
      <c r="H1" s="765"/>
      <c r="I1" s="765"/>
      <c r="J1" s="765"/>
    </row>
    <row r="2" spans="3:10" ht="23.25" x14ac:dyDescent="0.35">
      <c r="C2" s="764" t="s">
        <v>957</v>
      </c>
      <c r="D2" s="764"/>
      <c r="E2" s="764"/>
      <c r="F2" s="764"/>
      <c r="G2" s="764"/>
      <c r="H2" s="764"/>
      <c r="I2" s="764"/>
      <c r="J2" s="764"/>
    </row>
    <row r="3" spans="3:10" ht="23.25" x14ac:dyDescent="0.35">
      <c r="C3" s="764" t="s">
        <v>958</v>
      </c>
      <c r="D3" s="764"/>
      <c r="E3" s="764"/>
      <c r="F3" s="764"/>
      <c r="G3" s="764"/>
      <c r="H3" s="764"/>
      <c r="I3" s="764"/>
      <c r="J3" s="76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OBRA BÁSICA Y PAVIMENTACIÓN CALLE GÜEMES</v>
      </c>
    </row>
    <row r="3" spans="1:6" s="5" customFormat="1" ht="20.100000000000001" customHeight="1" x14ac:dyDescent="0.2">
      <c r="A3" s="11" t="s">
        <v>13</v>
      </c>
      <c r="B3" s="11" t="str">
        <f>Ubicación</f>
        <v>Rawson - Santa Lucia</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66" t="s">
        <v>34</v>
      </c>
      <c r="B7" s="767"/>
      <c r="C7" s="767"/>
      <c r="D7" s="767"/>
      <c r="E7" s="768"/>
    </row>
    <row r="8" spans="1:6" ht="20.100000000000001" customHeight="1" x14ac:dyDescent="0.2">
      <c r="A8" s="769" t="s">
        <v>708</v>
      </c>
      <c r="B8" s="770"/>
      <c r="C8" s="771"/>
      <c r="D8" s="771"/>
      <c r="E8" s="772"/>
    </row>
    <row r="10" spans="1:6" ht="20.100000000000001" customHeight="1" x14ac:dyDescent="0.2">
      <c r="A10" s="775"/>
      <c r="B10" s="776"/>
      <c r="C10" s="56" t="s">
        <v>38</v>
      </c>
      <c r="D10" s="57" t="s">
        <v>35</v>
      </c>
      <c r="E10" s="57" t="s">
        <v>36</v>
      </c>
    </row>
    <row r="11" spans="1:6" ht="20.100000000000001" customHeight="1" x14ac:dyDescent="0.2">
      <c r="A11" s="773" t="s">
        <v>945</v>
      </c>
      <c r="B11" s="774"/>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75"/>
      <c r="B17" s="776"/>
      <c r="C17" s="77"/>
      <c r="D17" s="13">
        <f t="shared" si="0"/>
        <v>0</v>
      </c>
      <c r="E17" s="13">
        <f t="shared" si="1"/>
        <v>0</v>
      </c>
    </row>
    <row r="18" spans="1:5" ht="20.100000000000001" customHeight="1" x14ac:dyDescent="0.2">
      <c r="A18" s="775"/>
      <c r="B18" s="776"/>
      <c r="C18" s="77"/>
      <c r="D18" s="13">
        <f t="shared" si="0"/>
        <v>0</v>
      </c>
      <c r="E18" s="13">
        <f t="shared" si="1"/>
        <v>0</v>
      </c>
    </row>
    <row r="19" spans="1:5" ht="20.100000000000001" customHeight="1" x14ac:dyDescent="0.2">
      <c r="A19" s="775"/>
      <c r="B19" s="776"/>
      <c r="C19" s="77"/>
      <c r="D19" s="13">
        <f t="shared" si="0"/>
        <v>0</v>
      </c>
      <c r="E19" s="13">
        <f t="shared" si="1"/>
        <v>0</v>
      </c>
    </row>
    <row r="20" spans="1:5" ht="20.100000000000001" customHeight="1" x14ac:dyDescent="0.2">
      <c r="A20" s="775"/>
      <c r="B20" s="776"/>
      <c r="C20" s="77"/>
      <c r="D20" s="13">
        <f t="shared" si="0"/>
        <v>0</v>
      </c>
      <c r="E20" s="13">
        <f t="shared" si="1"/>
        <v>0</v>
      </c>
    </row>
    <row r="21" spans="1:5" ht="20.100000000000001" customHeight="1" x14ac:dyDescent="0.2">
      <c r="A21" s="775"/>
      <c r="B21" s="776"/>
      <c r="C21" s="77"/>
      <c r="D21" s="13">
        <f t="shared" si="0"/>
        <v>0</v>
      </c>
      <c r="E21" s="13">
        <f t="shared" si="1"/>
        <v>0</v>
      </c>
    </row>
    <row r="22" spans="1:5" ht="20.100000000000001" customHeight="1" x14ac:dyDescent="0.2">
      <c r="A22" s="775"/>
      <c r="B22" s="776"/>
      <c r="C22" s="77"/>
      <c r="D22" s="13">
        <f t="shared" si="0"/>
        <v>0</v>
      </c>
      <c r="E22" s="13">
        <f t="shared" si="1"/>
        <v>0</v>
      </c>
    </row>
    <row r="23" spans="1:5" ht="20.100000000000001" customHeight="1" x14ac:dyDescent="0.2">
      <c r="A23" s="775"/>
      <c r="B23" s="776"/>
      <c r="C23" s="77"/>
      <c r="D23" s="13">
        <f t="shared" si="0"/>
        <v>0</v>
      </c>
      <c r="E23" s="13">
        <f t="shared" si="1"/>
        <v>0</v>
      </c>
    </row>
    <row r="24" spans="1:5" ht="20.100000000000001" customHeight="1" x14ac:dyDescent="0.2">
      <c r="A24" s="775"/>
      <c r="B24" s="776"/>
      <c r="C24" s="77"/>
      <c r="D24" s="13">
        <f t="shared" si="0"/>
        <v>0</v>
      </c>
      <c r="E24" s="13">
        <f t="shared" si="1"/>
        <v>0</v>
      </c>
    </row>
    <row r="25" spans="1:5" ht="20.100000000000001" customHeight="1" x14ac:dyDescent="0.2">
      <c r="A25" s="775"/>
      <c r="B25" s="776"/>
      <c r="C25" s="77"/>
      <c r="D25" s="13">
        <f t="shared" ref="D25:D28" si="2">IFERROR(C25/GG_Obra,0)</f>
        <v>0</v>
      </c>
      <c r="E25" s="13">
        <f t="shared" ref="E25:E28" si="3">IFERROR(C25/GG_Pesos,0)</f>
        <v>0</v>
      </c>
    </row>
    <row r="26" spans="1:5" ht="20.100000000000001" customHeight="1" x14ac:dyDescent="0.2">
      <c r="A26" s="775"/>
      <c r="B26" s="776"/>
      <c r="C26" s="77"/>
      <c r="D26" s="13">
        <f t="shared" si="2"/>
        <v>0</v>
      </c>
      <c r="E26" s="13">
        <f t="shared" si="3"/>
        <v>0</v>
      </c>
    </row>
    <row r="27" spans="1:5" ht="20.100000000000001" customHeight="1" x14ac:dyDescent="0.2">
      <c r="A27" s="775"/>
      <c r="B27" s="776"/>
      <c r="C27" s="77"/>
      <c r="D27" s="13">
        <f t="shared" si="2"/>
        <v>0</v>
      </c>
      <c r="E27" s="13">
        <f t="shared" si="3"/>
        <v>0</v>
      </c>
    </row>
    <row r="28" spans="1:5" ht="20.100000000000001" customHeight="1" x14ac:dyDescent="0.2">
      <c r="A28" s="775"/>
      <c r="B28" s="776"/>
      <c r="C28" s="77"/>
      <c r="D28" s="13">
        <f t="shared" si="2"/>
        <v>0</v>
      </c>
      <c r="E28" s="13">
        <f t="shared" si="3"/>
        <v>0</v>
      </c>
    </row>
    <row r="29" spans="1:5" ht="20.100000000000001" customHeight="1" x14ac:dyDescent="0.2">
      <c r="A29" s="775"/>
      <c r="B29" s="776"/>
      <c r="C29" s="77"/>
      <c r="D29" s="13">
        <f t="shared" si="0"/>
        <v>0</v>
      </c>
      <c r="E29" s="13">
        <f t="shared" si="1"/>
        <v>0</v>
      </c>
    </row>
    <row r="30" spans="1:5" ht="20.100000000000001" customHeight="1" x14ac:dyDescent="0.2">
      <c r="A30" s="775"/>
      <c r="B30" s="776"/>
      <c r="C30" s="77"/>
      <c r="D30" s="13">
        <f t="shared" si="0"/>
        <v>0</v>
      </c>
      <c r="E30" s="13">
        <f t="shared" si="1"/>
        <v>0</v>
      </c>
    </row>
    <row r="31" spans="1:5" ht="20.100000000000001" customHeight="1" x14ac:dyDescent="0.2">
      <c r="A31" s="775"/>
      <c r="B31" s="776"/>
      <c r="C31" s="77"/>
      <c r="D31" s="13">
        <f t="shared" si="0"/>
        <v>0</v>
      </c>
      <c r="E31" s="13">
        <f t="shared" si="1"/>
        <v>0</v>
      </c>
    </row>
    <row r="32" spans="1:5" ht="20.100000000000001" customHeight="1" x14ac:dyDescent="0.2">
      <c r="A32" s="775"/>
      <c r="B32" s="776"/>
      <c r="C32" s="77"/>
      <c r="D32" s="13">
        <f t="shared" si="0"/>
        <v>0</v>
      </c>
      <c r="E32" s="13">
        <f t="shared" si="1"/>
        <v>0</v>
      </c>
    </row>
    <row r="33" spans="1:5" ht="20.100000000000001" customHeight="1" x14ac:dyDescent="0.2">
      <c r="A33" s="775"/>
      <c r="B33" s="776"/>
      <c r="C33" s="77"/>
      <c r="D33" s="13">
        <f t="shared" si="0"/>
        <v>0</v>
      </c>
      <c r="E33" s="13">
        <f t="shared" si="1"/>
        <v>0</v>
      </c>
    </row>
    <row r="34" spans="1:5" ht="20.100000000000001" customHeight="1" x14ac:dyDescent="0.2">
      <c r="A34" s="775"/>
      <c r="B34" s="776"/>
      <c r="C34" s="77"/>
      <c r="D34" s="13">
        <f t="shared" si="0"/>
        <v>0</v>
      </c>
      <c r="E34" s="13">
        <f t="shared" si="1"/>
        <v>0</v>
      </c>
    </row>
    <row r="35" spans="1:5" ht="20.100000000000001" customHeight="1" x14ac:dyDescent="0.2">
      <c r="A35" s="58"/>
      <c r="E35" s="59"/>
    </row>
    <row r="36" spans="1:5" ht="20.100000000000001" customHeight="1" x14ac:dyDescent="0.2">
      <c r="A36" s="773" t="s">
        <v>37</v>
      </c>
      <c r="B36" s="774"/>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73" t="s">
        <v>709</v>
      </c>
      <c r="B75" s="774"/>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zoomScale="90" zoomScaleNormal="90" workbookViewId="0">
      <selection activeCell="A58" sqref="A58"/>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2">
        <f>Equipo_Amortización+Equipo_Interés</f>
        <v>9.6000000000000002E-4</v>
      </c>
      <c r="D14" s="68" t="s">
        <v>1617</v>
      </c>
      <c r="E14" s="68" t="str">
        <f t="shared" si="0"/>
        <v>Equipo - Amortización de equipo</v>
      </c>
    </row>
    <row r="15" spans="1:5" x14ac:dyDescent="0.2">
      <c r="A15" s="68" t="s">
        <v>1696</v>
      </c>
      <c r="B15" s="66" t="s">
        <v>1694</v>
      </c>
      <c r="C15" s="372">
        <f>Equipo_Amortización</f>
        <v>8.0000000000000004E-4</v>
      </c>
      <c r="D15" s="68" t="s">
        <v>1617</v>
      </c>
      <c r="E15" s="68" t="str">
        <f t="shared" si="0"/>
        <v>Equipo - Amortización de equipo</v>
      </c>
    </row>
    <row r="16" spans="1:5" x14ac:dyDescent="0.2">
      <c r="A16" s="68" t="s">
        <v>1697</v>
      </c>
      <c r="B16" s="66" t="s">
        <v>1694</v>
      </c>
      <c r="C16" s="372">
        <f>Equipo_Interés</f>
        <v>1.6000000000000001E-4</v>
      </c>
      <c r="D16" s="68" t="s">
        <v>1617</v>
      </c>
      <c r="E16" s="68" t="str">
        <f t="shared" si="0"/>
        <v>Equipo - Amortización de equipo</v>
      </c>
    </row>
    <row r="17" spans="1:5" x14ac:dyDescent="0.2">
      <c r="A17" s="68" t="s">
        <v>1698</v>
      </c>
      <c r="B17" s="66" t="s">
        <v>1694</v>
      </c>
      <c r="C17" s="372">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2">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2">
        <f>Camioneta_Amortización</f>
        <v>0</v>
      </c>
      <c r="D22" s="68" t="s">
        <v>1617</v>
      </c>
      <c r="E22" s="68" t="str">
        <f t="shared" si="0"/>
        <v>Equipo - Amortización de equipo</v>
      </c>
    </row>
    <row r="23" spans="1:5" x14ac:dyDescent="0.2">
      <c r="A23" s="68" t="s">
        <v>1702</v>
      </c>
      <c r="B23" s="66" t="s">
        <v>1694</v>
      </c>
      <c r="C23" s="372">
        <f>Camioneta_Interés</f>
        <v>3.3333333333333335E-3</v>
      </c>
      <c r="D23" s="68" t="s">
        <v>1617</v>
      </c>
      <c r="E23" s="68" t="str">
        <f t="shared" si="0"/>
        <v>Equipo - Amortización de equipo</v>
      </c>
    </row>
    <row r="24" spans="1:5" x14ac:dyDescent="0.2">
      <c r="A24" s="68" t="s">
        <v>1703</v>
      </c>
      <c r="B24" s="66" t="s">
        <v>1694</v>
      </c>
      <c r="C24" s="372">
        <f>Camioneta_Seguro</f>
        <v>0</v>
      </c>
      <c r="D24" s="68" t="s">
        <v>1617</v>
      </c>
      <c r="E24" s="68" t="str">
        <f t="shared" si="0"/>
        <v>Equipo - Amortización de equipo</v>
      </c>
    </row>
    <row r="25" spans="1:5" x14ac:dyDescent="0.2">
      <c r="A25" s="68" t="s">
        <v>1704</v>
      </c>
      <c r="B25" s="66" t="s">
        <v>1694</v>
      </c>
      <c r="C25" s="372">
        <f>Camioneta_Patente</f>
        <v>0</v>
      </c>
      <c r="D25" s="68" t="s">
        <v>1617</v>
      </c>
      <c r="E25" s="68" t="str">
        <f t="shared" si="0"/>
        <v>Equipo - Amortización de equipo</v>
      </c>
    </row>
    <row r="26" spans="1:5" x14ac:dyDescent="0.2">
      <c r="A26" s="68" t="s">
        <v>1705</v>
      </c>
      <c r="B26" s="66" t="s">
        <v>1694</v>
      </c>
      <c r="C26" s="372">
        <f>Camioneta_Combustibles_Lubricantes</f>
        <v>0</v>
      </c>
      <c r="D26" s="68" t="s">
        <v>1618</v>
      </c>
      <c r="E26" s="68" t="str">
        <f t="shared" si="0"/>
        <v xml:space="preserve">Gas oil                                                                </v>
      </c>
    </row>
    <row r="27" spans="1:5" x14ac:dyDescent="0.2">
      <c r="A27" s="68" t="s">
        <v>1706</v>
      </c>
      <c r="B27" s="66" t="s">
        <v>1694</v>
      </c>
      <c r="C27" s="372">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2"/>
      <c r="D36" s="68" t="s">
        <v>1621</v>
      </c>
      <c r="E36" s="68" t="str">
        <f t="shared" si="0"/>
        <v xml:space="preserve">Máquinas viales autopropulsadas                                        </v>
      </c>
    </row>
    <row r="37" spans="1:5" ht="12.75" x14ac:dyDescent="0.2">
      <c r="A37" s="68" t="s">
        <v>793</v>
      </c>
      <c r="B37" s="66"/>
      <c r="C37" s="322"/>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6"/>
      <c r="E42" s="68" t="str">
        <f t="shared" si="0"/>
        <v/>
      </c>
    </row>
    <row r="43" spans="1:5" x14ac:dyDescent="0.2">
      <c r="A43" s="68" t="s">
        <v>870</v>
      </c>
      <c r="B43" s="66"/>
      <c r="C43" s="69"/>
      <c r="D43" s="156"/>
      <c r="E43" s="68" t="str">
        <f t="shared" si="0"/>
        <v/>
      </c>
    </row>
    <row r="44" spans="1:5" x14ac:dyDescent="0.2">
      <c r="A44" s="68" t="s">
        <v>1012</v>
      </c>
      <c r="B44" s="66"/>
      <c r="C44" s="69"/>
      <c r="D44" s="156"/>
      <c r="E44" s="68" t="str">
        <f t="shared" si="0"/>
        <v/>
      </c>
    </row>
    <row r="45" spans="1:5" x14ac:dyDescent="0.2">
      <c r="A45" s="68"/>
      <c r="B45" s="66"/>
      <c r="C45" s="69"/>
      <c r="D45" s="68"/>
      <c r="E45" s="68" t="str">
        <f t="shared" si="0"/>
        <v/>
      </c>
    </row>
    <row r="46" spans="1:5" ht="12.75" x14ac:dyDescent="0.2">
      <c r="A46" s="68" t="s">
        <v>1784</v>
      </c>
      <c r="B46" s="66" t="s">
        <v>1868</v>
      </c>
      <c r="C46" s="322">
        <v>10</v>
      </c>
      <c r="D46" s="68" t="s">
        <v>921</v>
      </c>
      <c r="E46" s="68" t="str">
        <f t="shared" si="0"/>
        <v>Acero aletado conformado, en barra</v>
      </c>
    </row>
    <row r="47" spans="1:5" ht="12.75" x14ac:dyDescent="0.2">
      <c r="A47" s="68" t="s">
        <v>1785</v>
      </c>
      <c r="B47" s="66"/>
      <c r="C47" s="322"/>
      <c r="D47" s="68" t="s">
        <v>921</v>
      </c>
      <c r="E47" s="68" t="str">
        <f t="shared" si="0"/>
        <v>Acero aletado conformado, en barra</v>
      </c>
    </row>
    <row r="48" spans="1:5" ht="12.75" x14ac:dyDescent="0.2">
      <c r="A48" s="68" t="s">
        <v>731</v>
      </c>
      <c r="B48" s="323"/>
      <c r="C48" s="322"/>
      <c r="D48" s="68" t="s">
        <v>930</v>
      </c>
      <c r="E48" s="68" t="str">
        <f t="shared" si="0"/>
        <v xml:space="preserve">Perfiles de hierro                                                     </v>
      </c>
    </row>
    <row r="49" spans="1:5" ht="12.75" x14ac:dyDescent="0.2">
      <c r="A49" s="68" t="s">
        <v>1786</v>
      </c>
      <c r="B49" s="323"/>
      <c r="C49" s="322"/>
      <c r="D49" s="68" t="s">
        <v>921</v>
      </c>
      <c r="E49" s="68" t="str">
        <f t="shared" si="0"/>
        <v>Acero aletado conformado, en barra</v>
      </c>
    </row>
    <row r="50" spans="1:5" ht="12.75" x14ac:dyDescent="0.2">
      <c r="A50" s="68" t="s">
        <v>1787</v>
      </c>
      <c r="B50" s="321"/>
      <c r="C50" s="322"/>
      <c r="D50" s="68" t="s">
        <v>1624</v>
      </c>
      <c r="E50" s="68" t="str">
        <f t="shared" si="0"/>
        <v>Productos químicos</v>
      </c>
    </row>
    <row r="51" spans="1:5" ht="12.75" x14ac:dyDescent="0.2">
      <c r="A51" s="68" t="s">
        <v>1788</v>
      </c>
      <c r="B51" s="323"/>
      <c r="C51" s="322"/>
      <c r="D51" s="68" t="s">
        <v>1625</v>
      </c>
      <c r="E51" s="68" t="str">
        <f t="shared" si="0"/>
        <v xml:space="preserve">Tejidos de alambre                                                     </v>
      </c>
    </row>
    <row r="52" spans="1:5" ht="12.75" x14ac:dyDescent="0.2">
      <c r="A52" s="68" t="s">
        <v>1789</v>
      </c>
      <c r="B52" s="323"/>
      <c r="C52" s="322"/>
      <c r="D52" s="68" t="s">
        <v>920</v>
      </c>
      <c r="E52" s="68" t="str">
        <f t="shared" si="0"/>
        <v xml:space="preserve">Alambres de acero                                                      </v>
      </c>
    </row>
    <row r="53" spans="1:5" ht="12.75" x14ac:dyDescent="0.2">
      <c r="A53" s="68" t="s">
        <v>746</v>
      </c>
      <c r="B53" s="323"/>
      <c r="C53" s="322"/>
      <c r="D53" s="68" t="s">
        <v>1626</v>
      </c>
      <c r="E53" s="68" t="str">
        <f t="shared" si="0"/>
        <v xml:space="preserve">Lingotes y perfiles de aluminio y sus aleaciones                       </v>
      </c>
    </row>
    <row r="54" spans="1:5" ht="12.75" x14ac:dyDescent="0.2">
      <c r="A54" s="68" t="s">
        <v>1790</v>
      </c>
      <c r="B54" s="321"/>
      <c r="C54" s="322"/>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4"/>
      <c r="C56" s="325"/>
      <c r="D56" s="68" t="s">
        <v>927</v>
      </c>
      <c r="E56" s="68" t="str">
        <f t="shared" si="0"/>
        <v>Arena clasificada lavada</v>
      </c>
    </row>
    <row r="57" spans="1:5" ht="12.75" x14ac:dyDescent="0.2">
      <c r="A57" s="68" t="s">
        <v>1630</v>
      </c>
      <c r="B57" s="324"/>
      <c r="C57" s="325"/>
      <c r="D57" s="68" t="s">
        <v>927</v>
      </c>
      <c r="E57" s="68" t="str">
        <f t="shared" si="0"/>
        <v>Arena clasificada lavada</v>
      </c>
    </row>
    <row r="58" spans="1:5" ht="12.75" x14ac:dyDescent="0.2">
      <c r="A58" s="68" t="s">
        <v>1791</v>
      </c>
      <c r="B58" s="324"/>
      <c r="C58" s="325"/>
      <c r="D58" s="68" t="s">
        <v>1631</v>
      </c>
      <c r="E58" s="68" t="str">
        <f t="shared" si="0"/>
        <v>Asfaliq EM1</v>
      </c>
    </row>
    <row r="59" spans="1:5" ht="12.75" x14ac:dyDescent="0.2">
      <c r="A59" s="68" t="s">
        <v>1792</v>
      </c>
      <c r="B59" s="323"/>
      <c r="C59" s="322"/>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3"/>
      <c r="C61" s="322"/>
      <c r="D61" s="68" t="s">
        <v>931</v>
      </c>
      <c r="E61" s="68" t="str">
        <f t="shared" si="0"/>
        <v xml:space="preserve">Chapas metálicas                                                       </v>
      </c>
    </row>
    <row r="62" spans="1:5" ht="12.75" x14ac:dyDescent="0.2">
      <c r="A62" s="68" t="s">
        <v>1793</v>
      </c>
      <c r="B62" s="323"/>
      <c r="C62" s="322"/>
      <c r="D62" s="68" t="s">
        <v>929</v>
      </c>
      <c r="E62" s="68" t="str">
        <f t="shared" si="0"/>
        <v>Caño de hierro galvanizado</v>
      </c>
    </row>
    <row r="63" spans="1:5" ht="12.75" x14ac:dyDescent="0.2">
      <c r="A63" s="68" t="s">
        <v>1794</v>
      </c>
      <c r="B63" s="323"/>
      <c r="C63" s="322"/>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1"/>
      <c r="C66" s="322"/>
      <c r="D66" s="68" t="s">
        <v>1638</v>
      </c>
      <c r="E66" s="68" t="str">
        <f t="shared" si="0"/>
        <v xml:space="preserve">Clavos                                                                 </v>
      </c>
    </row>
    <row r="67" spans="1:5" ht="12.75" x14ac:dyDescent="0.2">
      <c r="A67" s="68" t="s">
        <v>1796</v>
      </c>
      <c r="B67" s="323"/>
      <c r="C67" s="322"/>
      <c r="D67" s="68" t="s">
        <v>930</v>
      </c>
      <c r="E67" s="68" t="str">
        <f t="shared" si="0"/>
        <v xml:space="preserve">Perfiles de hierro                                                     </v>
      </c>
    </row>
    <row r="68" spans="1:5" ht="12.75" x14ac:dyDescent="0.2">
      <c r="A68" s="68" t="s">
        <v>1797</v>
      </c>
      <c r="B68" s="323"/>
      <c r="C68" s="322"/>
      <c r="D68" s="68" t="s">
        <v>1639</v>
      </c>
      <c r="E68" s="68" t="str">
        <f t="shared" si="0"/>
        <v xml:space="preserve">Conductores eléctricos                                                 </v>
      </c>
    </row>
    <row r="69" spans="1:5" x14ac:dyDescent="0.2">
      <c r="A69" s="68" t="s">
        <v>1640</v>
      </c>
      <c r="B69" s="326"/>
      <c r="C69" s="327"/>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6"/>
      <c r="C71" s="327"/>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4"/>
      <c r="C74" s="325"/>
      <c r="D74" s="68" t="s">
        <v>1645</v>
      </c>
      <c r="E74" s="68" t="str">
        <f t="shared" si="2"/>
        <v>Emulsion EBCR</v>
      </c>
    </row>
    <row r="75" spans="1:5" ht="12.75" x14ac:dyDescent="0.2">
      <c r="A75" s="68" t="s">
        <v>922</v>
      </c>
      <c r="B75" s="323"/>
      <c r="C75" s="322"/>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3"/>
      <c r="C78" s="322"/>
      <c r="D78" s="68" t="s">
        <v>1618</v>
      </c>
      <c r="E78" s="68" t="str">
        <f t="shared" si="2"/>
        <v xml:space="preserve">Gas oil                                                                </v>
      </c>
    </row>
    <row r="79" spans="1:5" ht="12.75" x14ac:dyDescent="0.2">
      <c r="A79" s="68" t="s">
        <v>1800</v>
      </c>
      <c r="B79" s="321"/>
      <c r="C79" s="322"/>
      <c r="D79" s="68" t="s">
        <v>1624</v>
      </c>
      <c r="E79" s="68" t="str">
        <f t="shared" si="2"/>
        <v>Productos químicos</v>
      </c>
    </row>
    <row r="80" spans="1:5" ht="12.75" x14ac:dyDescent="0.2">
      <c r="A80" s="68" t="s">
        <v>1801</v>
      </c>
      <c r="B80" s="321"/>
      <c r="C80" s="322"/>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4"/>
      <c r="C83" s="325"/>
      <c r="D83" s="68" t="s">
        <v>919</v>
      </c>
      <c r="E83" s="68" t="str">
        <f t="shared" si="2"/>
        <v>Hormigón elaborado</v>
      </c>
    </row>
    <row r="84" spans="1:5" ht="12.75" x14ac:dyDescent="0.2">
      <c r="A84" s="68" t="s">
        <v>1654</v>
      </c>
      <c r="B84" s="324"/>
      <c r="C84" s="325"/>
      <c r="D84" s="68" t="s">
        <v>925</v>
      </c>
      <c r="E84" s="68" t="str">
        <f t="shared" si="2"/>
        <v>Ladrillón de 1°</v>
      </c>
    </row>
    <row r="85" spans="1:5" ht="12.75" x14ac:dyDescent="0.2">
      <c r="A85" s="68" t="s">
        <v>1802</v>
      </c>
      <c r="B85" s="323"/>
      <c r="C85" s="322"/>
      <c r="D85" s="68" t="s">
        <v>933</v>
      </c>
      <c r="E85" s="68" t="str">
        <f t="shared" si="2"/>
        <v>Artefacto de iluminación</v>
      </c>
    </row>
    <row r="86" spans="1:5" ht="12.75" x14ac:dyDescent="0.2">
      <c r="A86" s="68" t="s">
        <v>1803</v>
      </c>
      <c r="B86" s="323"/>
      <c r="C86" s="322"/>
      <c r="D86" s="68" t="s">
        <v>933</v>
      </c>
      <c r="E86" s="68" t="str">
        <f t="shared" si="2"/>
        <v>Artefacto de iluminación</v>
      </c>
    </row>
    <row r="87" spans="1:5" ht="12.75" x14ac:dyDescent="0.2">
      <c r="A87" s="68" t="s">
        <v>325</v>
      </c>
      <c r="B87" s="321"/>
      <c r="C87" s="322"/>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1"/>
      <c r="C90" s="322"/>
      <c r="D90" s="68" t="s">
        <v>1659</v>
      </c>
      <c r="E90" s="68" t="str">
        <f t="shared" si="2"/>
        <v xml:space="preserve">Canto rodado natural </v>
      </c>
    </row>
    <row r="91" spans="1:5" ht="12.75" x14ac:dyDescent="0.2">
      <c r="A91" s="68" t="s">
        <v>1804</v>
      </c>
      <c r="B91" s="321"/>
      <c r="C91" s="322"/>
      <c r="D91" s="68" t="s">
        <v>1624</v>
      </c>
      <c r="E91" s="68" t="str">
        <f t="shared" si="2"/>
        <v>Productos químicos</v>
      </c>
    </row>
    <row r="92" spans="1:5" ht="12.75" x14ac:dyDescent="0.2">
      <c r="A92" s="68" t="s">
        <v>1805</v>
      </c>
      <c r="B92" s="321"/>
      <c r="C92" s="322"/>
      <c r="D92" s="68" t="s">
        <v>1624</v>
      </c>
      <c r="E92" s="68" t="str">
        <f t="shared" si="2"/>
        <v>Productos químicos</v>
      </c>
    </row>
    <row r="93" spans="1:5" ht="12.75" x14ac:dyDescent="0.2">
      <c r="A93" s="68" t="s">
        <v>739</v>
      </c>
      <c r="B93" s="321"/>
      <c r="C93" s="322"/>
      <c r="D93" s="68" t="s">
        <v>1660</v>
      </c>
      <c r="E93" s="68" t="str">
        <f t="shared" si="2"/>
        <v xml:space="preserve">Membranas asfálticas                                                   </v>
      </c>
    </row>
    <row r="94" spans="1:5" ht="12.75" x14ac:dyDescent="0.2">
      <c r="A94" s="68" t="s">
        <v>1661</v>
      </c>
      <c r="B94" s="324"/>
      <c r="C94" s="325"/>
      <c r="D94" s="68" t="s">
        <v>1662</v>
      </c>
      <c r="E94" s="68" t="str">
        <f t="shared" si="2"/>
        <v>Mezcla 70/30</v>
      </c>
    </row>
    <row r="95" spans="1:5" ht="12.75" x14ac:dyDescent="0.2">
      <c r="A95" s="68" t="s">
        <v>1806</v>
      </c>
      <c r="B95" s="323"/>
      <c r="C95" s="322"/>
      <c r="D95" s="68" t="s">
        <v>1663</v>
      </c>
      <c r="E95" s="68" t="str">
        <f t="shared" si="2"/>
        <v xml:space="preserve">Naftas                                                                 </v>
      </c>
    </row>
    <row r="96" spans="1:5" ht="12.75" x14ac:dyDescent="0.2">
      <c r="A96" s="68" t="s">
        <v>1807</v>
      </c>
      <c r="B96" s="321"/>
      <c r="C96" s="322"/>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3"/>
      <c r="C98" s="322"/>
      <c r="D98" s="68" t="s">
        <v>930</v>
      </c>
      <c r="E98" s="68" t="str">
        <f t="shared" si="2"/>
        <v xml:space="preserve">Perfiles de hierro                                                     </v>
      </c>
    </row>
    <row r="99" spans="1:5" ht="12.75" x14ac:dyDescent="0.2">
      <c r="A99" s="68" t="s">
        <v>1809</v>
      </c>
      <c r="B99" s="321"/>
      <c r="C99" s="322"/>
      <c r="D99" s="68" t="s">
        <v>1665</v>
      </c>
      <c r="E99" s="68" t="str">
        <f t="shared" si="2"/>
        <v xml:space="preserve">Maderas aserradas                                                      </v>
      </c>
    </row>
    <row r="100" spans="1:5" ht="12.75" x14ac:dyDescent="0.2">
      <c r="A100" s="68" t="s">
        <v>1810</v>
      </c>
      <c r="B100" s="321"/>
      <c r="C100" s="322"/>
      <c r="D100" s="68" t="s">
        <v>1624</v>
      </c>
      <c r="E100" s="68" t="str">
        <f t="shared" si="2"/>
        <v>Productos químicos</v>
      </c>
    </row>
    <row r="101" spans="1:5" ht="12.75" x14ac:dyDescent="0.2">
      <c r="A101" s="68" t="s">
        <v>1811</v>
      </c>
      <c r="B101" s="321"/>
      <c r="C101" s="322"/>
      <c r="D101" s="68" t="s">
        <v>1624</v>
      </c>
      <c r="E101" s="68" t="str">
        <f t="shared" si="2"/>
        <v>Productos químicos</v>
      </c>
    </row>
    <row r="102" spans="1:5" ht="12.75" x14ac:dyDescent="0.2">
      <c r="A102" s="68" t="s">
        <v>1812</v>
      </c>
      <c r="B102" s="321"/>
      <c r="C102" s="322"/>
      <c r="D102" s="68" t="s">
        <v>1624</v>
      </c>
      <c r="E102" s="68" t="str">
        <f t="shared" si="2"/>
        <v>Productos químicos</v>
      </c>
    </row>
    <row r="103" spans="1:5" ht="12.75" x14ac:dyDescent="0.2">
      <c r="A103" s="68" t="s">
        <v>1813</v>
      </c>
      <c r="B103" s="323"/>
      <c r="C103" s="322"/>
      <c r="D103" s="68" t="s">
        <v>932</v>
      </c>
      <c r="E103" s="68" t="str">
        <f t="shared" si="2"/>
        <v xml:space="preserve">Interruptores eléctricos                                               </v>
      </c>
    </row>
    <row r="104" spans="1:5" ht="12.75" x14ac:dyDescent="0.2">
      <c r="A104" s="68" t="s">
        <v>1814</v>
      </c>
      <c r="B104" s="321"/>
      <c r="C104" s="322"/>
      <c r="D104" s="68" t="s">
        <v>1627</v>
      </c>
      <c r="E104" s="68" t="str">
        <f t="shared" si="2"/>
        <v xml:space="preserve">Cauchos sintéticos                                                     </v>
      </c>
    </row>
    <row r="105" spans="1:5" ht="12.75" x14ac:dyDescent="0.2">
      <c r="A105" s="68" t="s">
        <v>1815</v>
      </c>
      <c r="B105" s="323"/>
      <c r="C105" s="322"/>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7" t="s">
        <v>1667</v>
      </c>
      <c r="B1" s="777"/>
      <c r="C1" s="777"/>
      <c r="D1" s="777"/>
      <c r="E1" s="777"/>
      <c r="F1" s="777"/>
      <c r="G1" s="777"/>
    </row>
    <row r="2" spans="1:7" x14ac:dyDescent="0.2">
      <c r="A2" s="329" t="s">
        <v>711</v>
      </c>
      <c r="B2" s="329" t="str">
        <f>Comitente</f>
        <v>DIRECCIÓN PROVINCIAL DE VIALIDAD</v>
      </c>
      <c r="C2" s="330"/>
      <c r="D2" s="331"/>
      <c r="E2" s="331"/>
      <c r="F2" s="332"/>
      <c r="G2" s="332"/>
    </row>
    <row r="3" spans="1:7" x14ac:dyDescent="0.2">
      <c r="A3" s="329" t="s">
        <v>712</v>
      </c>
      <c r="B3" s="329">
        <f>Contratista</f>
        <v>0</v>
      </c>
      <c r="C3" s="333"/>
      <c r="D3" s="333"/>
      <c r="E3" s="333"/>
      <c r="F3" s="329"/>
      <c r="G3" s="329"/>
    </row>
    <row r="4" spans="1:7" x14ac:dyDescent="0.2">
      <c r="A4" s="329" t="s">
        <v>21</v>
      </c>
      <c r="B4" s="329" t="str">
        <f>Obra</f>
        <v>OBRA BÁSICA Y PAVIMENTACIÓN CALLE GÜEMES</v>
      </c>
      <c r="C4" s="333"/>
      <c r="D4" s="329" t="s">
        <v>32</v>
      </c>
      <c r="E4" s="329">
        <f>Fecha_Base</f>
        <v>0</v>
      </c>
    </row>
    <row r="5" spans="1:7" x14ac:dyDescent="0.2">
      <c r="A5" s="334" t="s">
        <v>710</v>
      </c>
      <c r="B5" s="334" t="str">
        <f>Ubicación</f>
        <v>Rawson - Santa Lucia</v>
      </c>
      <c r="C5" s="334"/>
      <c r="D5" s="335"/>
      <c r="E5" s="336"/>
      <c r="F5" s="337"/>
      <c r="G5" s="338"/>
    </row>
    <row r="6" spans="1:7" x14ac:dyDescent="0.2">
      <c r="A6" s="334"/>
      <c r="B6" s="334"/>
      <c r="C6" s="334"/>
      <c r="D6" s="335"/>
      <c r="E6" s="336"/>
      <c r="F6" s="337"/>
      <c r="G6" s="338"/>
    </row>
    <row r="7" spans="1:7" x14ac:dyDescent="0.2">
      <c r="A7" s="334"/>
      <c r="B7" s="339"/>
      <c r="C7" s="340" t="s">
        <v>1668</v>
      </c>
      <c r="D7" s="335"/>
      <c r="E7" s="336"/>
      <c r="F7" s="334"/>
      <c r="G7" s="341"/>
    </row>
    <row r="8" spans="1:7" x14ac:dyDescent="0.2">
      <c r="A8" s="334"/>
      <c r="B8" s="339"/>
      <c r="C8" s="342"/>
      <c r="D8" s="343" t="s">
        <v>1669</v>
      </c>
      <c r="F8" s="334"/>
      <c r="G8" s="341"/>
    </row>
    <row r="9" spans="1:7" x14ac:dyDescent="0.2">
      <c r="A9" s="334"/>
      <c r="B9" s="339"/>
      <c r="C9" s="342"/>
      <c r="D9" s="336"/>
      <c r="F9" s="334"/>
      <c r="G9" s="341"/>
    </row>
    <row r="10" spans="1:7" x14ac:dyDescent="0.2">
      <c r="A10" s="344" t="s">
        <v>1670</v>
      </c>
      <c r="C10" s="328" t="s">
        <v>1009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1010</v>
      </c>
      <c r="C13" s="328" t="s">
        <v>1010</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1011</v>
      </c>
      <c r="C16" s="328" t="s">
        <v>1011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1619</v>
      </c>
      <c r="C19" s="328" t="s">
        <v>870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1012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1671</v>
      </c>
      <c r="E24" s="347"/>
      <c r="F24" s="334"/>
      <c r="G24" s="350"/>
    </row>
    <row r="25" spans="1:7" x14ac:dyDescent="0.2">
      <c r="A25" s="334"/>
      <c r="B25" s="351" t="s">
        <v>1672</v>
      </c>
      <c r="C25" s="352"/>
      <c r="D25" s="353">
        <v>10000</v>
      </c>
      <c r="E25" s="336"/>
      <c r="F25" s="334"/>
      <c r="G25" s="350"/>
    </row>
    <row r="26" spans="1:7" x14ac:dyDescent="0.2">
      <c r="A26" s="334"/>
      <c r="B26" s="351" t="s">
        <v>1673</v>
      </c>
      <c r="C26" s="352"/>
      <c r="D26" s="354">
        <v>1</v>
      </c>
      <c r="E26" s="336"/>
      <c r="F26" s="334"/>
      <c r="G26" s="350"/>
    </row>
    <row r="27" spans="1:7" x14ac:dyDescent="0.2">
      <c r="A27" s="334"/>
      <c r="B27" s="355" t="s">
        <v>1674</v>
      </c>
      <c r="C27" s="352"/>
      <c r="D27" s="354">
        <v>0.08</v>
      </c>
      <c r="E27" s="336"/>
      <c r="F27" s="334"/>
      <c r="G27" s="350"/>
    </row>
    <row r="28" spans="1:7" x14ac:dyDescent="0.2">
      <c r="A28" s="334"/>
      <c r="B28" s="355" t="s">
        <v>1675</v>
      </c>
      <c r="C28" s="352"/>
      <c r="D28" s="354">
        <v>0.2</v>
      </c>
      <c r="E28" s="336"/>
      <c r="F28" s="334"/>
      <c r="G28" s="350"/>
    </row>
    <row r="29" spans="1:7" x14ac:dyDescent="0.2">
      <c r="A29" s="334"/>
      <c r="B29" s="355" t="s">
        <v>1676</v>
      </c>
      <c r="C29" s="352"/>
      <c r="D29" s="356">
        <v>0.15</v>
      </c>
      <c r="E29" s="336"/>
      <c r="F29" s="334"/>
      <c r="G29" s="350"/>
    </row>
    <row r="30" spans="1:7" x14ac:dyDescent="0.2">
      <c r="A30" s="334"/>
      <c r="B30" s="355" t="s">
        <v>1677</v>
      </c>
      <c r="C30" s="352"/>
      <c r="D30" s="357">
        <v>38</v>
      </c>
      <c r="E30" s="336"/>
      <c r="F30" s="334"/>
      <c r="G30" s="335"/>
    </row>
    <row r="31" spans="1:7" x14ac:dyDescent="0.2">
      <c r="A31" s="334"/>
      <c r="B31" s="355" t="s">
        <v>1678</v>
      </c>
      <c r="C31" s="352"/>
      <c r="D31" s="354">
        <v>0.2</v>
      </c>
      <c r="E31" s="336"/>
      <c r="F31" s="334"/>
      <c r="G31" s="335"/>
    </row>
    <row r="33" spans="1:7" x14ac:dyDescent="0.2">
      <c r="C33" s="340" t="s">
        <v>1679</v>
      </c>
    </row>
    <row r="34" spans="1:7" x14ac:dyDescent="0.2">
      <c r="C34" s="340"/>
      <c r="E34" s="328" t="s">
        <v>1669</v>
      </c>
    </row>
    <row r="35" spans="1:7" x14ac:dyDescent="0.2">
      <c r="A35" s="334"/>
      <c r="B35" s="339"/>
      <c r="C35" s="342"/>
      <c r="D35" s="335"/>
      <c r="E35" s="336"/>
      <c r="F35" s="334"/>
      <c r="G35" s="335"/>
    </row>
    <row r="36" spans="1:7" x14ac:dyDescent="0.2">
      <c r="A36" s="334"/>
      <c r="B36" s="339"/>
      <c r="C36" s="328" t="s">
        <v>1009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1010</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1693</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1680</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1619</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1681</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1682</v>
      </c>
      <c r="C55" s="352"/>
      <c r="D55" s="354"/>
    </row>
    <row r="56" spans="1:7" x14ac:dyDescent="0.2">
      <c r="B56" s="360" t="s">
        <v>1683</v>
      </c>
      <c r="C56" s="352"/>
      <c r="D56" s="361"/>
    </row>
    <row r="57" spans="1:7" x14ac:dyDescent="0.2">
      <c r="B57" s="360" t="s">
        <v>1684</v>
      </c>
      <c r="C57" s="352"/>
      <c r="D57" s="362"/>
    </row>
    <row r="58" spans="1:7" x14ac:dyDescent="0.2">
      <c r="B58" s="360" t="s">
        <v>1685</v>
      </c>
      <c r="C58" s="352"/>
      <c r="D58" s="370"/>
    </row>
    <row r="59" spans="1:7" x14ac:dyDescent="0.2">
      <c r="B59" s="360" t="s">
        <v>1686</v>
      </c>
      <c r="C59" s="352"/>
      <c r="D59" s="354"/>
    </row>
    <row r="60" spans="1:7" x14ac:dyDescent="0.2">
      <c r="B60" s="360" t="s">
        <v>1687</v>
      </c>
      <c r="C60" s="352"/>
      <c r="D60" s="354"/>
    </row>
    <row r="61" spans="1:7" x14ac:dyDescent="0.2">
      <c r="B61" s="360" t="s">
        <v>1688</v>
      </c>
      <c r="C61" s="352"/>
      <c r="D61" s="363"/>
    </row>
    <row r="62" spans="1:7" x14ac:dyDescent="0.2">
      <c r="B62" s="360" t="s">
        <v>1689</v>
      </c>
      <c r="C62" s="352"/>
      <c r="D62" s="354"/>
    </row>
    <row r="63" spans="1:7" x14ac:dyDescent="0.2">
      <c r="B63" s="360" t="s">
        <v>1690</v>
      </c>
      <c r="C63" s="352"/>
      <c r="D63" s="364"/>
    </row>
    <row r="64" spans="1:7" x14ac:dyDescent="0.2">
      <c r="B64" s="360" t="s">
        <v>1691</v>
      </c>
      <c r="C64" s="352"/>
      <c r="D64" s="371"/>
    </row>
    <row r="65" spans="2:4" x14ac:dyDescent="0.2">
      <c r="B65" s="360" t="s">
        <v>1692</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91" t="s">
        <v>1708</v>
      </c>
      <c r="B1" s="791"/>
      <c r="C1" s="791"/>
      <c r="D1" s="791"/>
      <c r="E1" s="791"/>
      <c r="F1" s="791"/>
      <c r="G1" s="791"/>
      <c r="H1" s="791"/>
      <c r="I1" s="791"/>
      <c r="J1" s="791"/>
      <c r="K1" s="791"/>
      <c r="L1" s="791"/>
      <c r="M1" s="791"/>
      <c r="N1" s="791"/>
      <c r="O1" s="791"/>
      <c r="P1" s="791"/>
    </row>
    <row r="2" spans="1:21" ht="15" customHeight="1" x14ac:dyDescent="0.2">
      <c r="A2" s="791" t="s">
        <v>1709</v>
      </c>
      <c r="B2" s="791"/>
      <c r="C2" s="791"/>
      <c r="D2" s="791"/>
      <c r="E2" s="791"/>
      <c r="F2" s="791" t="s">
        <v>1710</v>
      </c>
      <c r="G2" s="791"/>
      <c r="H2" s="791"/>
      <c r="I2" s="791"/>
      <c r="J2" s="791"/>
      <c r="K2" s="791"/>
      <c r="L2" s="791"/>
      <c r="M2" s="791"/>
      <c r="N2" s="791"/>
      <c r="O2" s="791"/>
      <c r="P2" s="791"/>
    </row>
    <row r="3" spans="1:21" ht="15" customHeight="1" x14ac:dyDescent="0.2">
      <c r="E3" s="375"/>
    </row>
    <row r="4" spans="1:21" ht="15" customHeight="1" x14ac:dyDescent="0.25">
      <c r="A4" s="792" t="s">
        <v>1711</v>
      </c>
      <c r="B4" s="792"/>
      <c r="C4" s="792"/>
      <c r="D4" s="792"/>
      <c r="E4" s="792"/>
      <c r="F4" s="375"/>
      <c r="K4" s="375"/>
      <c r="N4" s="375" t="s">
        <v>1712</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78" t="s">
        <v>1713</v>
      </c>
      <c r="B7" s="779"/>
      <c r="C7" s="779"/>
      <c r="D7" s="780"/>
      <c r="E7" s="419"/>
      <c r="F7" s="375"/>
      <c r="G7" s="378"/>
      <c r="I7" s="788"/>
      <c r="J7" s="379"/>
      <c r="K7" s="380"/>
      <c r="N7" s="375" t="s">
        <v>1714</v>
      </c>
      <c r="O7" s="407">
        <f>ROUND(Valor_CamiónSolo*E10/4000,3)</f>
        <v>0</v>
      </c>
      <c r="Q7" s="378"/>
      <c r="R7" s="381"/>
      <c r="S7" s="788"/>
      <c r="T7" s="382"/>
      <c r="U7" s="379"/>
    </row>
    <row r="8" spans="1:21" ht="15" customHeight="1" x14ac:dyDescent="0.2">
      <c r="A8" s="778" t="s">
        <v>1715</v>
      </c>
      <c r="B8" s="779"/>
      <c r="C8" s="779"/>
      <c r="D8" s="780"/>
      <c r="E8" s="420"/>
      <c r="F8" s="375"/>
      <c r="G8" s="789"/>
      <c r="H8" s="789"/>
      <c r="I8" s="788"/>
      <c r="K8" s="375"/>
      <c r="O8" s="377"/>
      <c r="Q8" s="789"/>
      <c r="R8" s="789"/>
      <c r="S8" s="788"/>
    </row>
    <row r="9" spans="1:21" ht="15" customHeight="1" x14ac:dyDescent="0.2">
      <c r="A9" s="778" t="s">
        <v>1716</v>
      </c>
      <c r="B9" s="779"/>
      <c r="C9" s="779"/>
      <c r="D9" s="780"/>
      <c r="E9" s="421"/>
      <c r="F9" s="375"/>
      <c r="K9" s="375"/>
      <c r="O9" s="377"/>
    </row>
    <row r="10" spans="1:21" ht="15" customHeight="1" x14ac:dyDescent="0.2">
      <c r="A10" s="778" t="s">
        <v>1717</v>
      </c>
      <c r="B10" s="779"/>
      <c r="C10" s="779"/>
      <c r="D10" s="780"/>
      <c r="E10" s="421"/>
      <c r="F10" s="375"/>
      <c r="K10" s="375"/>
      <c r="N10" s="375" t="s">
        <v>1718</v>
      </c>
      <c r="O10" s="376">
        <f>ROUND(O4*Porcentaje_Reparaciones_Repuestos,3)</f>
        <v>0</v>
      </c>
    </row>
    <row r="11" spans="1:21" ht="15" customHeight="1" x14ac:dyDescent="0.2">
      <c r="A11" s="778" t="s">
        <v>1719</v>
      </c>
      <c r="B11" s="779"/>
      <c r="C11" s="779"/>
      <c r="D11" s="780"/>
      <c r="E11" s="421"/>
      <c r="F11" s="375"/>
      <c r="K11" s="375"/>
      <c r="O11" s="377"/>
    </row>
    <row r="12" spans="1:21" ht="15" customHeight="1" x14ac:dyDescent="0.2">
      <c r="A12" s="778" t="s">
        <v>1720</v>
      </c>
      <c r="B12" s="779"/>
      <c r="C12" s="779"/>
      <c r="D12" s="780"/>
      <c r="E12" s="421"/>
      <c r="F12" s="375"/>
      <c r="K12" s="375"/>
      <c r="O12" s="377"/>
    </row>
    <row r="13" spans="1:21" ht="15" customHeight="1" x14ac:dyDescent="0.2">
      <c r="A13" s="778" t="s">
        <v>1721</v>
      </c>
      <c r="B13" s="779"/>
      <c r="C13" s="779"/>
      <c r="D13" s="780"/>
      <c r="E13" s="420"/>
      <c r="F13" s="375"/>
      <c r="K13" s="375"/>
      <c r="N13" s="375" t="s">
        <v>1722</v>
      </c>
      <c r="O13" s="376">
        <f>ROUND(Tiempo_lavado_en_horas*Mano_Obra_Lavado*Cantidad_lavado_al_mes*12/2000,3)</f>
        <v>0</v>
      </c>
    </row>
    <row r="14" spans="1:21" ht="15" customHeight="1" x14ac:dyDescent="0.2">
      <c r="A14" s="778" t="s">
        <v>1723</v>
      </c>
      <c r="B14" s="779"/>
      <c r="C14" s="779"/>
      <c r="D14" s="780"/>
      <c r="E14" s="422"/>
      <c r="F14" s="375"/>
      <c r="K14" s="375"/>
      <c r="O14" s="377"/>
    </row>
    <row r="15" spans="1:21" ht="15" customHeight="1" x14ac:dyDescent="0.2">
      <c r="A15" s="778" t="s">
        <v>1724</v>
      </c>
      <c r="B15" s="779"/>
      <c r="C15" s="779"/>
      <c r="D15" s="780"/>
      <c r="E15" s="423"/>
      <c r="F15" s="375"/>
      <c r="G15" s="378"/>
      <c r="I15" s="788"/>
      <c r="J15" s="379"/>
      <c r="K15" s="380"/>
      <c r="O15" s="377"/>
      <c r="Q15" s="383"/>
      <c r="R15" s="384"/>
      <c r="S15" s="788"/>
      <c r="T15" s="382"/>
      <c r="U15" s="385"/>
    </row>
    <row r="16" spans="1:21" ht="15" customHeight="1" x14ac:dyDescent="0.2">
      <c r="A16" s="778" t="s">
        <v>1725</v>
      </c>
      <c r="B16" s="779"/>
      <c r="C16" s="779"/>
      <c r="D16" s="780"/>
      <c r="E16" s="424"/>
      <c r="F16" s="375"/>
      <c r="G16" s="789"/>
      <c r="H16" s="789"/>
      <c r="I16" s="788"/>
      <c r="K16" s="375"/>
      <c r="N16" s="375" t="s">
        <v>1726</v>
      </c>
      <c r="O16" s="376">
        <f>ROUND(Valor_CamiónSolo*PorSegurosPatentesImpustoCamión/2000,3)</f>
        <v>0</v>
      </c>
      <c r="Q16" s="790"/>
      <c r="R16" s="790"/>
      <c r="S16" s="788"/>
    </row>
    <row r="17" spans="1:21" ht="15" customHeight="1" x14ac:dyDescent="0.2">
      <c r="A17" s="778" t="s">
        <v>1727</v>
      </c>
      <c r="B17" s="779"/>
      <c r="C17" s="779"/>
      <c r="D17" s="780"/>
      <c r="E17" s="425"/>
      <c r="F17" s="375"/>
      <c r="K17" s="375"/>
      <c r="O17" s="377"/>
    </row>
    <row r="18" spans="1:21" ht="15" customHeight="1" x14ac:dyDescent="0.2">
      <c r="A18" s="778" t="s">
        <v>1728</v>
      </c>
      <c r="B18" s="779"/>
      <c r="C18" s="779"/>
      <c r="D18" s="780"/>
      <c r="E18" s="426"/>
      <c r="F18" s="375"/>
      <c r="K18" s="375"/>
      <c r="O18" s="377"/>
    </row>
    <row r="19" spans="1:21" ht="15" customHeight="1" x14ac:dyDescent="0.2">
      <c r="A19" s="778" t="s">
        <v>1729</v>
      </c>
      <c r="B19" s="779"/>
      <c r="C19" s="779"/>
      <c r="D19" s="780"/>
      <c r="E19" s="427"/>
      <c r="F19" s="375"/>
      <c r="G19" s="378"/>
      <c r="J19" s="379"/>
      <c r="K19" s="380"/>
      <c r="N19" s="375" t="s">
        <v>1730</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78" t="s">
        <v>1731</v>
      </c>
      <c r="B20" s="779"/>
      <c r="C20" s="779"/>
      <c r="D20" s="780"/>
      <c r="E20" s="421"/>
      <c r="F20" s="375"/>
      <c r="G20" s="789"/>
      <c r="H20" s="789"/>
      <c r="K20" s="375"/>
      <c r="O20" s="377"/>
    </row>
    <row r="21" spans="1:21" ht="15" customHeight="1" x14ac:dyDescent="0.2">
      <c r="A21" s="778" t="s">
        <v>1782</v>
      </c>
      <c r="B21" s="779"/>
      <c r="C21" s="779"/>
      <c r="D21" s="780" t="s">
        <v>1732</v>
      </c>
      <c r="E21" s="428"/>
      <c r="G21" s="783"/>
      <c r="H21" s="783"/>
      <c r="I21" s="783"/>
      <c r="K21" s="375"/>
      <c r="O21" s="377"/>
    </row>
    <row r="22" spans="1:21" ht="15" customHeight="1" x14ac:dyDescent="0.2">
      <c r="A22" s="778" t="s">
        <v>1783</v>
      </c>
      <c r="B22" s="779"/>
      <c r="C22" s="779"/>
      <c r="D22" s="780" t="s">
        <v>1733</v>
      </c>
      <c r="E22" s="429"/>
      <c r="K22" s="375"/>
      <c r="N22" s="375" t="s">
        <v>1734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5" t="s">
        <v>1735</v>
      </c>
      <c r="B25" s="785"/>
      <c r="C25" s="785"/>
      <c r="D25" s="785"/>
      <c r="E25" s="785"/>
      <c r="F25" s="785"/>
      <c r="G25" s="785"/>
      <c r="H25" s="786" t="s">
        <v>1736</v>
      </c>
      <c r="I25" s="786"/>
      <c r="J25" s="786"/>
      <c r="K25" s="786"/>
      <c r="L25" s="786"/>
      <c r="M25" s="786"/>
      <c r="N25" s="786"/>
      <c r="O25" s="786"/>
      <c r="P25" s="787" t="s">
        <v>1737</v>
      </c>
    </row>
    <row r="26" spans="1:21" ht="15" customHeight="1" x14ac:dyDescent="0.2">
      <c r="A26" s="394" t="s">
        <v>1738</v>
      </c>
      <c r="B26" s="394" t="s">
        <v>1739</v>
      </c>
      <c r="C26" s="394" t="s">
        <v>1740</v>
      </c>
      <c r="D26" s="394" t="s">
        <v>1741</v>
      </c>
      <c r="E26" s="394" t="s">
        <v>1742</v>
      </c>
      <c r="F26" s="394" t="s">
        <v>1007</v>
      </c>
      <c r="G26" s="394" t="s">
        <v>1743</v>
      </c>
      <c r="H26" s="782" t="s">
        <v>1670</v>
      </c>
      <c r="I26" s="782" t="s">
        <v>1744</v>
      </c>
      <c r="J26" s="394" t="s">
        <v>1745</v>
      </c>
      <c r="K26" s="394" t="s">
        <v>1746</v>
      </c>
      <c r="L26" s="394" t="s">
        <v>1747</v>
      </c>
      <c r="M26" s="394" t="s">
        <v>1748</v>
      </c>
      <c r="N26" s="394" t="s">
        <v>1749</v>
      </c>
      <c r="O26" s="395" t="s">
        <v>1750</v>
      </c>
      <c r="P26" s="787"/>
    </row>
    <row r="27" spans="1:21" ht="15" customHeight="1" x14ac:dyDescent="0.2">
      <c r="A27" s="394" t="s">
        <v>1751</v>
      </c>
      <c r="B27" s="394" t="s">
        <v>1752</v>
      </c>
      <c r="C27" s="394" t="s">
        <v>1753</v>
      </c>
      <c r="D27" s="394" t="s">
        <v>1754</v>
      </c>
      <c r="E27" s="394" t="s">
        <v>1755</v>
      </c>
      <c r="F27" s="394" t="s">
        <v>1756</v>
      </c>
      <c r="G27" s="394" t="s">
        <v>1757</v>
      </c>
      <c r="H27" s="782"/>
      <c r="I27" s="782"/>
      <c r="J27" s="394" t="s">
        <v>1758</v>
      </c>
      <c r="K27" s="394" t="s">
        <v>1759</v>
      </c>
      <c r="L27" s="394" t="s">
        <v>1760</v>
      </c>
      <c r="M27" s="394" t="s">
        <v>1761</v>
      </c>
      <c r="N27" s="394" t="s">
        <v>1762</v>
      </c>
      <c r="O27" s="395" t="s">
        <v>1763</v>
      </c>
      <c r="P27" s="787"/>
    </row>
    <row r="28" spans="1:21" ht="15" customHeight="1" x14ac:dyDescent="0.2">
      <c r="A28" s="781" t="s">
        <v>1764</v>
      </c>
      <c r="B28" s="781" t="s">
        <v>1765</v>
      </c>
      <c r="C28" s="781" t="s">
        <v>1766</v>
      </c>
      <c r="D28" s="781" t="s">
        <v>1767</v>
      </c>
      <c r="E28" s="781" t="s">
        <v>1768</v>
      </c>
      <c r="F28" s="781" t="s">
        <v>1769</v>
      </c>
      <c r="G28" s="781" t="s">
        <v>1770</v>
      </c>
      <c r="H28" s="781" t="s">
        <v>1771</v>
      </c>
      <c r="I28" s="781" t="s">
        <v>1772</v>
      </c>
      <c r="J28" s="781" t="s">
        <v>1773</v>
      </c>
      <c r="K28" s="781" t="s">
        <v>1774</v>
      </c>
      <c r="L28" s="781" t="s">
        <v>1775</v>
      </c>
      <c r="M28" s="781" t="s">
        <v>1776</v>
      </c>
      <c r="N28" s="781" t="s">
        <v>1777</v>
      </c>
      <c r="O28" s="781" t="s">
        <v>1778</v>
      </c>
      <c r="P28" s="784" t="s">
        <v>1779</v>
      </c>
    </row>
    <row r="29" spans="1:21" ht="15" customHeight="1" x14ac:dyDescent="0.2">
      <c r="A29" s="781"/>
      <c r="B29" s="781"/>
      <c r="C29" s="781"/>
      <c r="D29" s="781"/>
      <c r="E29" s="781"/>
      <c r="F29" s="781"/>
      <c r="G29" s="781"/>
      <c r="H29" s="781"/>
      <c r="I29" s="781"/>
      <c r="J29" s="781"/>
      <c r="K29" s="781"/>
      <c r="L29" s="781"/>
      <c r="M29" s="781"/>
      <c r="N29" s="781"/>
      <c r="O29" s="781"/>
      <c r="P29" s="784"/>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91" t="s">
        <v>1708</v>
      </c>
      <c r="B1" s="791"/>
      <c r="C1" s="791"/>
      <c r="D1" s="791"/>
      <c r="E1" s="791"/>
      <c r="F1" s="791"/>
      <c r="G1" s="791"/>
      <c r="H1" s="791"/>
      <c r="I1" s="791"/>
      <c r="J1" s="791"/>
      <c r="K1" s="791"/>
      <c r="L1" s="791"/>
      <c r="M1" s="791"/>
      <c r="N1" s="791"/>
      <c r="O1" s="791"/>
      <c r="P1" s="791"/>
    </row>
    <row r="2" spans="1:21" ht="15" customHeight="1" x14ac:dyDescent="0.2">
      <c r="A2" s="791" t="s">
        <v>1780</v>
      </c>
      <c r="B2" s="791"/>
      <c r="C2" s="791"/>
      <c r="D2" s="791"/>
      <c r="E2" s="791"/>
      <c r="F2" s="791" t="s">
        <v>1710</v>
      </c>
      <c r="G2" s="791"/>
      <c r="H2" s="791"/>
      <c r="I2" s="791"/>
      <c r="J2" s="791"/>
      <c r="K2" s="791"/>
      <c r="L2" s="791"/>
      <c r="M2" s="791"/>
      <c r="N2" s="791"/>
      <c r="O2" s="791"/>
      <c r="P2" s="791"/>
    </row>
    <row r="3" spans="1:21" ht="15" customHeight="1" x14ac:dyDescent="0.2">
      <c r="E3" s="375"/>
    </row>
    <row r="4" spans="1:21" ht="15" customHeight="1" x14ac:dyDescent="0.25">
      <c r="A4" s="792" t="s">
        <v>1711</v>
      </c>
      <c r="B4" s="792"/>
      <c r="C4" s="792"/>
      <c r="D4" s="792"/>
      <c r="E4" s="792"/>
      <c r="F4" s="375"/>
      <c r="K4" s="375"/>
      <c r="N4" s="375" t="s">
        <v>1712</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3" t="s">
        <v>1713</v>
      </c>
      <c r="B7" s="793"/>
      <c r="C7" s="793"/>
      <c r="D7" s="793"/>
      <c r="E7" s="430"/>
      <c r="F7" s="375"/>
      <c r="G7" s="378"/>
      <c r="I7" s="788"/>
      <c r="J7" s="379"/>
      <c r="K7" s="380"/>
      <c r="N7" s="375" t="s">
        <v>1714</v>
      </c>
      <c r="O7" s="376">
        <f>ROUND(Valor_CamiónAcoplado*E10/4000,3)</f>
        <v>0</v>
      </c>
      <c r="Q7" s="378"/>
      <c r="R7" s="381"/>
      <c r="S7" s="788"/>
      <c r="T7" s="382"/>
      <c r="U7" s="379"/>
    </row>
    <row r="8" spans="1:21" ht="15" customHeight="1" x14ac:dyDescent="0.2">
      <c r="A8" s="793" t="s">
        <v>1715</v>
      </c>
      <c r="B8" s="793"/>
      <c r="C8" s="793"/>
      <c r="D8" s="793"/>
      <c r="E8" s="431"/>
      <c r="F8" s="375"/>
      <c r="G8" s="789"/>
      <c r="H8" s="789"/>
      <c r="I8" s="788"/>
      <c r="K8" s="375"/>
      <c r="O8" s="377"/>
      <c r="Q8" s="789"/>
      <c r="R8" s="789"/>
      <c r="S8" s="788"/>
    </row>
    <row r="9" spans="1:21" ht="15" customHeight="1" x14ac:dyDescent="0.2">
      <c r="A9" s="793" t="s">
        <v>1716</v>
      </c>
      <c r="B9" s="793"/>
      <c r="C9" s="793"/>
      <c r="D9" s="793"/>
      <c r="E9" s="432"/>
      <c r="F9" s="375"/>
      <c r="K9" s="375"/>
      <c r="O9" s="377"/>
    </row>
    <row r="10" spans="1:21" ht="15" customHeight="1" x14ac:dyDescent="0.2">
      <c r="A10" s="793" t="s">
        <v>1717</v>
      </c>
      <c r="B10" s="793"/>
      <c r="C10" s="793"/>
      <c r="D10" s="793"/>
      <c r="E10" s="432"/>
      <c r="F10" s="375"/>
      <c r="K10" s="375"/>
      <c r="N10" s="375" t="s">
        <v>1718</v>
      </c>
      <c r="O10" s="376">
        <f>ROUND(O4*Porcentaje_Reparaciones_Repuestos,3)</f>
        <v>0</v>
      </c>
    </row>
    <row r="11" spans="1:21" ht="15" customHeight="1" x14ac:dyDescent="0.2">
      <c r="A11" s="793" t="s">
        <v>1719</v>
      </c>
      <c r="B11" s="793"/>
      <c r="C11" s="793"/>
      <c r="D11" s="793"/>
      <c r="E11" s="432"/>
      <c r="F11" s="375"/>
      <c r="K11" s="375"/>
      <c r="O11" s="377"/>
    </row>
    <row r="12" spans="1:21" ht="15" customHeight="1" x14ac:dyDescent="0.2">
      <c r="A12" s="793" t="s">
        <v>1720</v>
      </c>
      <c r="B12" s="793"/>
      <c r="C12" s="793"/>
      <c r="D12" s="793"/>
      <c r="E12" s="432"/>
      <c r="F12" s="375"/>
      <c r="K12" s="375"/>
      <c r="O12" s="377"/>
    </row>
    <row r="13" spans="1:21" ht="15" customHeight="1" x14ac:dyDescent="0.2">
      <c r="A13" s="793" t="s">
        <v>1721</v>
      </c>
      <c r="B13" s="793"/>
      <c r="C13" s="793"/>
      <c r="D13" s="793"/>
      <c r="E13" s="431"/>
      <c r="F13" s="375"/>
      <c r="K13" s="375"/>
      <c r="N13" s="375" t="s">
        <v>1722</v>
      </c>
      <c r="O13" s="376">
        <f>ROUND(Tiempo_lavado_en_horas*Mano_Obra_Lavado*Cantidad_lavado_al_mes*12/2000,3)</f>
        <v>0</v>
      </c>
    </row>
    <row r="14" spans="1:21" ht="15" customHeight="1" x14ac:dyDescent="0.2">
      <c r="A14" s="793" t="s">
        <v>1723</v>
      </c>
      <c r="B14" s="793"/>
      <c r="C14" s="793"/>
      <c r="D14" s="793"/>
      <c r="E14" s="433"/>
      <c r="F14" s="375"/>
      <c r="K14" s="375"/>
      <c r="O14" s="377"/>
    </row>
    <row r="15" spans="1:21" ht="15" customHeight="1" x14ac:dyDescent="0.2">
      <c r="A15" s="793" t="s">
        <v>1724</v>
      </c>
      <c r="B15" s="793"/>
      <c r="C15" s="793"/>
      <c r="D15" s="793"/>
      <c r="E15" s="434"/>
      <c r="F15" s="375"/>
      <c r="G15" s="378"/>
      <c r="I15" s="788"/>
      <c r="J15" s="379"/>
      <c r="K15" s="380"/>
      <c r="O15" s="377"/>
      <c r="Q15" s="383"/>
      <c r="R15" s="384"/>
      <c r="S15" s="788"/>
      <c r="T15" s="382"/>
      <c r="U15" s="385"/>
    </row>
    <row r="16" spans="1:21" ht="15" customHeight="1" x14ac:dyDescent="0.2">
      <c r="A16" s="793" t="s">
        <v>1725</v>
      </c>
      <c r="B16" s="793"/>
      <c r="C16" s="793"/>
      <c r="D16" s="793"/>
      <c r="E16" s="435"/>
      <c r="F16" s="375"/>
      <c r="G16" s="789"/>
      <c r="H16" s="789"/>
      <c r="I16" s="788"/>
      <c r="K16" s="375"/>
      <c r="N16" s="375" t="s">
        <v>1726</v>
      </c>
      <c r="O16" s="376">
        <f>ROUND(Valor_CamiónAcoplado*PorSegurosPatentesImpustoCamión/2000,3)</f>
        <v>0</v>
      </c>
      <c r="Q16" s="790"/>
      <c r="R16" s="790"/>
      <c r="S16" s="788"/>
    </row>
    <row r="17" spans="1:21" ht="15" customHeight="1" x14ac:dyDescent="0.2">
      <c r="A17" s="793" t="s">
        <v>1727</v>
      </c>
      <c r="B17" s="793"/>
      <c r="C17" s="793"/>
      <c r="D17" s="793"/>
      <c r="E17" s="436"/>
      <c r="F17" s="375"/>
      <c r="K17" s="375"/>
      <c r="O17" s="377"/>
    </row>
    <row r="18" spans="1:21" ht="15" customHeight="1" x14ac:dyDescent="0.2">
      <c r="A18" s="793" t="s">
        <v>1728</v>
      </c>
      <c r="B18" s="793"/>
      <c r="C18" s="793"/>
      <c r="D18" s="793"/>
      <c r="E18" s="437"/>
      <c r="F18" s="375"/>
      <c r="K18" s="375"/>
      <c r="O18" s="377"/>
    </row>
    <row r="19" spans="1:21" ht="15" customHeight="1" x14ac:dyDescent="0.2">
      <c r="A19" s="793" t="s">
        <v>1729</v>
      </c>
      <c r="B19" s="793"/>
      <c r="C19" s="793"/>
      <c r="D19" s="793"/>
      <c r="E19" s="438"/>
      <c r="F19" s="375"/>
      <c r="G19" s="378"/>
      <c r="J19" s="379"/>
      <c r="K19" s="380"/>
      <c r="N19" s="375" t="s">
        <v>1730</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3" t="s">
        <v>1731</v>
      </c>
      <c r="B20" s="793"/>
      <c r="C20" s="793"/>
      <c r="D20" s="793"/>
      <c r="E20" s="432"/>
      <c r="F20" s="375"/>
      <c r="G20" s="789"/>
      <c r="H20" s="789"/>
      <c r="K20" s="375"/>
      <c r="O20" s="377"/>
    </row>
    <row r="21" spans="1:21" ht="15" customHeight="1" x14ac:dyDescent="0.2">
      <c r="A21" s="793" t="s">
        <v>1782</v>
      </c>
      <c r="B21" s="793"/>
      <c r="C21" s="793"/>
      <c r="D21" s="793" t="s">
        <v>1732</v>
      </c>
      <c r="E21" s="439"/>
      <c r="G21" s="783"/>
      <c r="H21" s="783"/>
      <c r="I21" s="783"/>
      <c r="K21" s="375"/>
      <c r="O21" s="377"/>
    </row>
    <row r="22" spans="1:21" ht="15" customHeight="1" x14ac:dyDescent="0.2">
      <c r="A22" s="793" t="s">
        <v>1783</v>
      </c>
      <c r="B22" s="793"/>
      <c r="C22" s="793"/>
      <c r="D22" s="793" t="s">
        <v>1733</v>
      </c>
      <c r="E22" s="440"/>
      <c r="K22" s="375"/>
      <c r="N22" s="375" t="s">
        <v>1734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5" t="s">
        <v>1735</v>
      </c>
      <c r="B25" s="785"/>
      <c r="C25" s="785"/>
      <c r="D25" s="785"/>
      <c r="E25" s="785"/>
      <c r="F25" s="785"/>
      <c r="G25" s="785"/>
      <c r="H25" s="786" t="s">
        <v>1736</v>
      </c>
      <c r="I25" s="786"/>
      <c r="J25" s="786"/>
      <c r="K25" s="786"/>
      <c r="L25" s="786"/>
      <c r="M25" s="786"/>
      <c r="N25" s="786"/>
      <c r="O25" s="786"/>
      <c r="P25" s="787" t="s">
        <v>1737</v>
      </c>
    </row>
    <row r="26" spans="1:21" ht="15" customHeight="1" x14ac:dyDescent="0.2">
      <c r="A26" s="394" t="s">
        <v>1738</v>
      </c>
      <c r="B26" s="394" t="s">
        <v>1739</v>
      </c>
      <c r="C26" s="394" t="s">
        <v>1740</v>
      </c>
      <c r="D26" s="394" t="s">
        <v>1741</v>
      </c>
      <c r="E26" s="394" t="s">
        <v>1742</v>
      </c>
      <c r="F26" s="394" t="s">
        <v>1007</v>
      </c>
      <c r="G26" s="394" t="s">
        <v>1743</v>
      </c>
      <c r="H26" s="782" t="s">
        <v>1670</v>
      </c>
      <c r="I26" s="782" t="s">
        <v>1744</v>
      </c>
      <c r="J26" s="394" t="s">
        <v>1745</v>
      </c>
      <c r="K26" s="394" t="s">
        <v>1746</v>
      </c>
      <c r="L26" s="394" t="s">
        <v>1747</v>
      </c>
      <c r="M26" s="394" t="s">
        <v>1748</v>
      </c>
      <c r="N26" s="394" t="s">
        <v>1749</v>
      </c>
      <c r="O26" s="395" t="s">
        <v>1781</v>
      </c>
      <c r="P26" s="787"/>
    </row>
    <row r="27" spans="1:21" ht="15" customHeight="1" x14ac:dyDescent="0.2">
      <c r="A27" s="394" t="s">
        <v>1751</v>
      </c>
      <c r="B27" s="394" t="s">
        <v>1752</v>
      </c>
      <c r="C27" s="394" t="s">
        <v>1753</v>
      </c>
      <c r="D27" s="394" t="s">
        <v>1754</v>
      </c>
      <c r="E27" s="394" t="s">
        <v>1755</v>
      </c>
      <c r="F27" s="394" t="s">
        <v>1756</v>
      </c>
      <c r="G27" s="394" t="s">
        <v>1757</v>
      </c>
      <c r="H27" s="782"/>
      <c r="I27" s="782"/>
      <c r="J27" s="394" t="s">
        <v>1758</v>
      </c>
      <c r="K27" s="394" t="s">
        <v>1759</v>
      </c>
      <c r="L27" s="394" t="s">
        <v>1760</v>
      </c>
      <c r="M27" s="394" t="s">
        <v>1761</v>
      </c>
      <c r="N27" s="394" t="s">
        <v>1762</v>
      </c>
      <c r="O27" s="395" t="s">
        <v>1763</v>
      </c>
      <c r="P27" s="787"/>
    </row>
    <row r="28" spans="1:21" ht="15" customHeight="1" x14ac:dyDescent="0.2">
      <c r="A28" s="781" t="s">
        <v>1764</v>
      </c>
      <c r="B28" s="781" t="s">
        <v>1765</v>
      </c>
      <c r="C28" s="781" t="s">
        <v>1766</v>
      </c>
      <c r="D28" s="781" t="s">
        <v>1767</v>
      </c>
      <c r="E28" s="781" t="s">
        <v>1768</v>
      </c>
      <c r="F28" s="781" t="s">
        <v>1769</v>
      </c>
      <c r="G28" s="781" t="s">
        <v>1770</v>
      </c>
      <c r="H28" s="781" t="s">
        <v>1771</v>
      </c>
      <c r="I28" s="781" t="s">
        <v>1772</v>
      </c>
      <c r="J28" s="781" t="s">
        <v>1773</v>
      </c>
      <c r="K28" s="781" t="s">
        <v>1774</v>
      </c>
      <c r="L28" s="781" t="s">
        <v>1775</v>
      </c>
      <c r="M28" s="781" t="s">
        <v>1776</v>
      </c>
      <c r="N28" s="781" t="s">
        <v>1777</v>
      </c>
      <c r="O28" s="781" t="s">
        <v>1778</v>
      </c>
      <c r="P28" s="784" t="s">
        <v>1779</v>
      </c>
    </row>
    <row r="29" spans="1:21" ht="15" customHeight="1" x14ac:dyDescent="0.2">
      <c r="A29" s="781"/>
      <c r="B29" s="781"/>
      <c r="C29" s="781"/>
      <c r="D29" s="781"/>
      <c r="E29" s="781"/>
      <c r="F29" s="781"/>
      <c r="G29" s="781"/>
      <c r="H29" s="781"/>
      <c r="I29" s="781"/>
      <c r="J29" s="781"/>
      <c r="K29" s="781"/>
      <c r="L29" s="781"/>
      <c r="M29" s="781"/>
      <c r="N29" s="781"/>
      <c r="O29" s="781"/>
      <c r="P29" s="784"/>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4"/>
      <c r="N65" s="794"/>
      <c r="O65" s="794"/>
      <c r="P65" s="794"/>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542</v>
      </c>
      <c r="C1" s="550"/>
      <c r="D1" s="550"/>
      <c r="E1" s="549"/>
      <c r="F1" s="549"/>
      <c r="G1" s="549"/>
    </row>
    <row r="3" spans="1:7" x14ac:dyDescent="0.2">
      <c r="A3" s="554" t="s">
        <v>343</v>
      </c>
      <c r="B3" s="552" t="s">
        <v>42</v>
      </c>
      <c r="C3" s="554"/>
      <c r="D3" s="554"/>
      <c r="E3" s="795" t="s">
        <v>43</v>
      </c>
      <c r="F3" s="554"/>
      <c r="G3" s="554"/>
    </row>
    <row r="4" spans="1:7" x14ac:dyDescent="0.2">
      <c r="A4" s="553"/>
      <c r="B4" s="552" t="s">
        <v>44</v>
      </c>
      <c r="C4" s="554"/>
      <c r="D4" s="554"/>
      <c r="E4" s="795"/>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45</v>
      </c>
      <c r="D6" s="552">
        <v>51</v>
      </c>
      <c r="E6" s="551" t="s">
        <v>46</v>
      </c>
    </row>
    <row r="7" spans="1:7" x14ac:dyDescent="0.2">
      <c r="A7" s="552" t="str">
        <f t="shared" si="0"/>
        <v>INDEC-CM - 37210-52</v>
      </c>
      <c r="B7" s="552">
        <v>37210</v>
      </c>
      <c r="C7" s="552" t="s">
        <v>45</v>
      </c>
      <c r="D7" s="552">
        <v>52</v>
      </c>
      <c r="E7" s="551" t="s">
        <v>47</v>
      </c>
    </row>
    <row r="8" spans="1:7" x14ac:dyDescent="0.2">
      <c r="A8" s="552" t="str">
        <f t="shared" si="0"/>
        <v>INDEC-CM - 42911-81</v>
      </c>
      <c r="B8" s="552">
        <v>42911</v>
      </c>
      <c r="C8" s="552" t="s">
        <v>45</v>
      </c>
      <c r="D8" s="552">
        <v>81</v>
      </c>
      <c r="E8" s="556" t="s">
        <v>48</v>
      </c>
      <c r="F8" s="556"/>
      <c r="G8" s="556"/>
    </row>
    <row r="9" spans="1:7" x14ac:dyDescent="0.2">
      <c r="A9" s="552" t="str">
        <f t="shared" si="0"/>
        <v>INDEC-CM - 41242-11</v>
      </c>
      <c r="B9" s="552">
        <v>41242</v>
      </c>
      <c r="C9" s="552" t="s">
        <v>45</v>
      </c>
      <c r="D9" s="552">
        <v>11</v>
      </c>
      <c r="E9" s="556" t="s">
        <v>49</v>
      </c>
      <c r="F9" s="556"/>
      <c r="G9" s="556"/>
    </row>
    <row r="10" spans="1:7" x14ac:dyDescent="0.2">
      <c r="A10" s="552" t="str">
        <f t="shared" si="0"/>
        <v>INDEC-CM - 37440-21</v>
      </c>
      <c r="B10" s="552">
        <v>37440</v>
      </c>
      <c r="C10" s="552" t="s">
        <v>45</v>
      </c>
      <c r="D10" s="552">
        <v>21</v>
      </c>
      <c r="E10" s="551" t="s">
        <v>50</v>
      </c>
    </row>
    <row r="11" spans="1:7" x14ac:dyDescent="0.2">
      <c r="A11" s="552" t="str">
        <f t="shared" si="0"/>
        <v>INDEC-CM - 38130-13</v>
      </c>
      <c r="B11" s="552">
        <v>38130</v>
      </c>
      <c r="C11" s="552" t="s">
        <v>45</v>
      </c>
      <c r="D11" s="552">
        <v>13</v>
      </c>
      <c r="E11" s="556" t="s">
        <v>51</v>
      </c>
      <c r="F11" s="556"/>
      <c r="G11" s="556"/>
    </row>
    <row r="12" spans="1:7" x14ac:dyDescent="0.2">
      <c r="A12" s="552" t="str">
        <f t="shared" si="0"/>
        <v>INDEC-CM - 38130-12</v>
      </c>
      <c r="B12" s="552">
        <v>38130</v>
      </c>
      <c r="C12" s="552" t="s">
        <v>45</v>
      </c>
      <c r="D12" s="552">
        <v>12</v>
      </c>
      <c r="E12" s="556" t="s">
        <v>52</v>
      </c>
      <c r="F12" s="556"/>
      <c r="G12" s="556"/>
    </row>
    <row r="13" spans="1:7" x14ac:dyDescent="0.2">
      <c r="A13" s="552" t="str">
        <f t="shared" si="0"/>
        <v>INDEC-CM - 38130-11</v>
      </c>
      <c r="B13" s="552">
        <v>38130</v>
      </c>
      <c r="C13" s="552" t="s">
        <v>45</v>
      </c>
      <c r="D13" s="552">
        <v>11</v>
      </c>
      <c r="E13" s="556" t="s">
        <v>53</v>
      </c>
      <c r="F13" s="556"/>
      <c r="G13" s="556"/>
    </row>
    <row r="14" spans="1:7" x14ac:dyDescent="0.2">
      <c r="A14" s="552" t="str">
        <f t="shared" si="0"/>
        <v>INDEC-CM - 27230-11</v>
      </c>
      <c r="B14" s="552">
        <v>27230</v>
      </c>
      <c r="C14" s="552" t="s">
        <v>45</v>
      </c>
      <c r="D14" s="552">
        <v>11</v>
      </c>
      <c r="E14" s="556" t="s">
        <v>54</v>
      </c>
      <c r="F14" s="556"/>
      <c r="G14" s="556"/>
    </row>
    <row r="15" spans="1:7" x14ac:dyDescent="0.2">
      <c r="A15" s="552" t="str">
        <f t="shared" si="0"/>
        <v>INDEC-CM - 44821-11</v>
      </c>
      <c r="B15" s="552">
        <v>44821</v>
      </c>
      <c r="C15" s="552" t="s">
        <v>45</v>
      </c>
      <c r="D15" s="552">
        <v>11</v>
      </c>
      <c r="E15" s="551" t="s">
        <v>55</v>
      </c>
    </row>
    <row r="16" spans="1:7" x14ac:dyDescent="0.2">
      <c r="A16" s="552" t="str">
        <f t="shared" si="0"/>
        <v>INDEC-CM - 37560-11</v>
      </c>
      <c r="B16" s="552">
        <v>37560</v>
      </c>
      <c r="C16" s="552" t="s">
        <v>45</v>
      </c>
      <c r="D16" s="552">
        <v>11</v>
      </c>
      <c r="E16" s="556" t="s">
        <v>56</v>
      </c>
      <c r="F16" s="556"/>
      <c r="G16" s="556"/>
    </row>
    <row r="17" spans="1:7" x14ac:dyDescent="0.2">
      <c r="A17" s="552" t="str">
        <f t="shared" si="0"/>
        <v>INDEC-CM - 15400-11</v>
      </c>
      <c r="B17" s="552">
        <v>15400</v>
      </c>
      <c r="C17" s="552" t="s">
        <v>45</v>
      </c>
      <c r="D17" s="552">
        <v>11</v>
      </c>
      <c r="E17" s="556" t="s">
        <v>57</v>
      </c>
      <c r="F17" s="556"/>
      <c r="G17" s="556"/>
    </row>
    <row r="18" spans="1:7" x14ac:dyDescent="0.2">
      <c r="A18" s="552" t="str">
        <f t="shared" si="0"/>
        <v>INDEC-CM - 15310-11</v>
      </c>
      <c r="B18" s="552">
        <v>15310</v>
      </c>
      <c r="C18" s="552" t="s">
        <v>45</v>
      </c>
      <c r="D18" s="552">
        <v>11</v>
      </c>
      <c r="E18" s="551" t="s">
        <v>58</v>
      </c>
    </row>
    <row r="19" spans="1:7" x14ac:dyDescent="0.2">
      <c r="A19" s="552" t="str">
        <f t="shared" si="0"/>
        <v>INDEC-CM - 46531-11</v>
      </c>
      <c r="B19" s="552">
        <v>46531</v>
      </c>
      <c r="C19" s="552" t="s">
        <v>45</v>
      </c>
      <c r="D19" s="552">
        <v>11</v>
      </c>
      <c r="E19" s="556" t="s">
        <v>59</v>
      </c>
      <c r="F19" s="556"/>
      <c r="G19" s="556"/>
    </row>
    <row r="20" spans="1:7" x14ac:dyDescent="0.2">
      <c r="A20" s="552" t="str">
        <f t="shared" si="0"/>
        <v>INDEC-CM - 43540-11</v>
      </c>
      <c r="B20" s="552">
        <v>43540</v>
      </c>
      <c r="C20" s="552" t="s">
        <v>45</v>
      </c>
      <c r="D20" s="552">
        <v>11</v>
      </c>
      <c r="E20" s="551" t="s">
        <v>60</v>
      </c>
    </row>
    <row r="21" spans="1:7" x14ac:dyDescent="0.2">
      <c r="A21" s="552" t="str">
        <f t="shared" si="0"/>
        <v>INDEC-CM - 43540-12</v>
      </c>
      <c r="B21" s="552">
        <v>43540</v>
      </c>
      <c r="C21" s="552" t="s">
        <v>45</v>
      </c>
      <c r="D21" s="552">
        <v>12</v>
      </c>
      <c r="E21" s="551" t="s">
        <v>61</v>
      </c>
    </row>
    <row r="22" spans="1:7" x14ac:dyDescent="0.2">
      <c r="A22" s="557" t="str">
        <f t="shared" si="0"/>
        <v>INDEC-CM - 37370-21</v>
      </c>
      <c r="B22" s="557">
        <v>37370</v>
      </c>
      <c r="C22" s="557" t="s">
        <v>45</v>
      </c>
      <c r="D22" s="557">
        <v>21</v>
      </c>
      <c r="E22" s="558" t="s">
        <v>62</v>
      </c>
      <c r="F22" s="551" t="s">
        <v>2040</v>
      </c>
    </row>
    <row r="23" spans="1:7" x14ac:dyDescent="0.2">
      <c r="A23" s="557" t="str">
        <f t="shared" si="0"/>
        <v>INDEC-CM - 37370-11</v>
      </c>
      <c r="B23" s="557">
        <v>37370</v>
      </c>
      <c r="C23" s="557" t="s">
        <v>45</v>
      </c>
      <c r="D23" s="557">
        <v>11</v>
      </c>
      <c r="E23" s="558" t="s">
        <v>63</v>
      </c>
      <c r="F23" s="551" t="s">
        <v>2040</v>
      </c>
    </row>
    <row r="24" spans="1:7" x14ac:dyDescent="0.2">
      <c r="A24" s="557" t="str">
        <f t="shared" si="0"/>
        <v>INDEC-CM - 37370-12</v>
      </c>
      <c r="B24" s="557">
        <v>37370</v>
      </c>
      <c r="C24" s="557" t="s">
        <v>45</v>
      </c>
      <c r="D24" s="557">
        <v>12</v>
      </c>
      <c r="E24" s="558" t="s">
        <v>64</v>
      </c>
      <c r="F24" s="551" t="s">
        <v>2040</v>
      </c>
    </row>
    <row r="25" spans="1:7" x14ac:dyDescent="0.2">
      <c r="A25" s="552" t="str">
        <f t="shared" si="0"/>
        <v>INDEC-CM - 37690-11</v>
      </c>
      <c r="B25" s="552">
        <v>37690</v>
      </c>
      <c r="C25" s="552" t="s">
        <v>45</v>
      </c>
      <c r="D25" s="552">
        <v>11</v>
      </c>
      <c r="E25" s="551" t="s">
        <v>65</v>
      </c>
    </row>
    <row r="26" spans="1:7" x14ac:dyDescent="0.2">
      <c r="A26" s="552" t="str">
        <f t="shared" si="0"/>
        <v>INDEC-CM - 42911-11</v>
      </c>
      <c r="B26" s="552">
        <v>42911</v>
      </c>
      <c r="C26" s="552" t="s">
        <v>45</v>
      </c>
      <c r="D26" s="552">
        <v>11</v>
      </c>
      <c r="E26" s="551" t="s">
        <v>66</v>
      </c>
    </row>
    <row r="27" spans="1:7" x14ac:dyDescent="0.2">
      <c r="A27" s="552" t="str">
        <f t="shared" si="0"/>
        <v>INDEC-CM - 37129-11</v>
      </c>
      <c r="B27" s="552">
        <v>37129</v>
      </c>
      <c r="C27" s="552" t="s">
        <v>45</v>
      </c>
      <c r="D27" s="552">
        <v>11</v>
      </c>
      <c r="E27" s="551" t="s">
        <v>67</v>
      </c>
    </row>
    <row r="28" spans="1:7" x14ac:dyDescent="0.2">
      <c r="A28" s="552" t="str">
        <f t="shared" si="0"/>
        <v>INDEC-CM - 35110-41</v>
      </c>
      <c r="B28" s="552">
        <v>35110</v>
      </c>
      <c r="C28" s="552" t="s">
        <v>45</v>
      </c>
      <c r="D28" s="552">
        <v>41</v>
      </c>
      <c r="E28" s="551" t="s">
        <v>68</v>
      </c>
    </row>
    <row r="29" spans="1:7" x14ac:dyDescent="0.2">
      <c r="A29" s="552" t="str">
        <f t="shared" si="0"/>
        <v>INDEC-CM - 37210-23</v>
      </c>
      <c r="B29" s="552">
        <v>37210</v>
      </c>
      <c r="C29" s="552" t="s">
        <v>45</v>
      </c>
      <c r="D29" s="552">
        <v>23</v>
      </c>
      <c r="E29" s="551" t="s">
        <v>69</v>
      </c>
    </row>
    <row r="30" spans="1:7" x14ac:dyDescent="0.2">
      <c r="A30" s="552" t="str">
        <f t="shared" si="0"/>
        <v>INDEC-CM - 37210-22</v>
      </c>
      <c r="B30" s="552">
        <v>37210</v>
      </c>
      <c r="C30" s="552" t="s">
        <v>45</v>
      </c>
      <c r="D30" s="552">
        <v>22</v>
      </c>
      <c r="E30" s="551" t="s">
        <v>70</v>
      </c>
    </row>
    <row r="31" spans="1:7" x14ac:dyDescent="0.2">
      <c r="A31" s="552" t="str">
        <f t="shared" si="0"/>
        <v>INDEC-CM - 37210-21</v>
      </c>
      <c r="B31" s="552">
        <v>37210</v>
      </c>
      <c r="C31" s="552" t="s">
        <v>45</v>
      </c>
      <c r="D31" s="552">
        <v>21</v>
      </c>
      <c r="E31" s="551" t="s">
        <v>71</v>
      </c>
    </row>
    <row r="32" spans="1:7" x14ac:dyDescent="0.2">
      <c r="A32" s="552" t="str">
        <f t="shared" si="0"/>
        <v>INDEC-CM - 41543-21</v>
      </c>
      <c r="B32" s="552">
        <v>41543</v>
      </c>
      <c r="C32" s="552" t="s">
        <v>45</v>
      </c>
      <c r="D32" s="552">
        <v>21</v>
      </c>
      <c r="E32" s="551" t="s">
        <v>72</v>
      </c>
    </row>
    <row r="33" spans="1:6" x14ac:dyDescent="0.2">
      <c r="A33" s="552" t="str">
        <f t="shared" si="0"/>
        <v>INDEC-CM - 46340-31</v>
      </c>
      <c r="B33" s="552">
        <v>46340</v>
      </c>
      <c r="C33" s="552" t="s">
        <v>45</v>
      </c>
      <c r="D33" s="552">
        <v>31</v>
      </c>
      <c r="E33" s="551" t="s">
        <v>73</v>
      </c>
    </row>
    <row r="34" spans="1:6" x14ac:dyDescent="0.2">
      <c r="A34" s="552" t="str">
        <f t="shared" si="0"/>
        <v>INDEC-CM - 46320-11</v>
      </c>
      <c r="B34" s="552">
        <v>46320</v>
      </c>
      <c r="C34" s="552" t="s">
        <v>45</v>
      </c>
      <c r="D34" s="552">
        <v>11</v>
      </c>
      <c r="E34" s="551" t="s">
        <v>74</v>
      </c>
    </row>
    <row r="35" spans="1:6" x14ac:dyDescent="0.2">
      <c r="A35" s="552" t="str">
        <f t="shared" si="0"/>
        <v>INDEC-CM - 46340-11</v>
      </c>
      <c r="B35" s="552">
        <v>46340</v>
      </c>
      <c r="C35" s="552" t="s">
        <v>45</v>
      </c>
      <c r="D35" s="552">
        <v>11</v>
      </c>
      <c r="E35" s="551" t="s">
        <v>75</v>
      </c>
    </row>
    <row r="36" spans="1:6" x14ac:dyDescent="0.2">
      <c r="A36" s="552" t="str">
        <f t="shared" si="0"/>
        <v>INDEC-CM - 46340-12</v>
      </c>
      <c r="B36" s="552">
        <v>46340</v>
      </c>
      <c r="C36" s="552" t="s">
        <v>45</v>
      </c>
      <c r="D36" s="552">
        <v>12</v>
      </c>
      <c r="E36" s="551" t="s">
        <v>76</v>
      </c>
    </row>
    <row r="37" spans="1:6" x14ac:dyDescent="0.2">
      <c r="A37" s="552" t="str">
        <f t="shared" si="0"/>
        <v>INDEC-CM - 46340-21</v>
      </c>
      <c r="B37" s="552">
        <v>46340</v>
      </c>
      <c r="C37" s="552" t="s">
        <v>45</v>
      </c>
      <c r="D37" s="552">
        <v>21</v>
      </c>
      <c r="E37" s="551" t="s">
        <v>77</v>
      </c>
    </row>
    <row r="38" spans="1:6" x14ac:dyDescent="0.2">
      <c r="A38" s="552" t="str">
        <f t="shared" si="0"/>
        <v>INDEC-CM - 46212-21</v>
      </c>
      <c r="B38" s="552">
        <v>46212</v>
      </c>
      <c r="C38" s="552" t="s">
        <v>45</v>
      </c>
      <c r="D38" s="552">
        <v>21</v>
      </c>
      <c r="E38" s="551" t="s">
        <v>78</v>
      </c>
    </row>
    <row r="39" spans="1:6" x14ac:dyDescent="0.2">
      <c r="A39" s="552" t="str">
        <f t="shared" si="0"/>
        <v>INDEC-CM - 42999-23</v>
      </c>
      <c r="B39" s="552">
        <v>42999</v>
      </c>
      <c r="C39" s="552" t="s">
        <v>45</v>
      </c>
      <c r="D39" s="552">
        <v>23</v>
      </c>
      <c r="E39" s="551" t="s">
        <v>79</v>
      </c>
    </row>
    <row r="40" spans="1:6" x14ac:dyDescent="0.2">
      <c r="A40" s="552" t="str">
        <f t="shared" si="0"/>
        <v>INDEC-CM - 42999-21</v>
      </c>
      <c r="B40" s="552">
        <v>42999</v>
      </c>
      <c r="C40" s="552" t="s">
        <v>45</v>
      </c>
      <c r="D40" s="552">
        <v>21</v>
      </c>
      <c r="E40" s="551" t="s">
        <v>80</v>
      </c>
    </row>
    <row r="41" spans="1:6" x14ac:dyDescent="0.2">
      <c r="A41" s="552" t="str">
        <f t="shared" si="0"/>
        <v>INDEC-CM - 42999-31</v>
      </c>
      <c r="B41" s="552">
        <v>42999</v>
      </c>
      <c r="C41" s="552" t="s">
        <v>45</v>
      </c>
      <c r="D41" s="552">
        <v>31</v>
      </c>
      <c r="E41" s="551" t="s">
        <v>81</v>
      </c>
    </row>
    <row r="42" spans="1:6" x14ac:dyDescent="0.2">
      <c r="A42" s="552" t="str">
        <f t="shared" si="0"/>
        <v>INDEC-CM - 42999-22</v>
      </c>
      <c r="B42" s="552">
        <v>42999</v>
      </c>
      <c r="C42" s="552" t="s">
        <v>45</v>
      </c>
      <c r="D42" s="552">
        <v>22</v>
      </c>
      <c r="E42" s="551" t="s">
        <v>82</v>
      </c>
    </row>
    <row r="43" spans="1:6" x14ac:dyDescent="0.2">
      <c r="A43" s="557" t="str">
        <f t="shared" si="0"/>
        <v>INDEC-CM - 31600-63</v>
      </c>
      <c r="B43" s="557">
        <v>31600</v>
      </c>
      <c r="C43" s="557" t="s">
        <v>45</v>
      </c>
      <c r="D43" s="557">
        <v>63</v>
      </c>
      <c r="E43" s="558" t="s">
        <v>83</v>
      </c>
      <c r="F43" s="551" t="s">
        <v>2040</v>
      </c>
    </row>
    <row r="44" spans="1:6" x14ac:dyDescent="0.2">
      <c r="A44" s="557" t="str">
        <f t="shared" si="0"/>
        <v>INDEC-CM - 31600-62</v>
      </c>
      <c r="B44" s="557">
        <v>31600</v>
      </c>
      <c r="C44" s="557" t="s">
        <v>45</v>
      </c>
      <c r="D44" s="557">
        <v>62</v>
      </c>
      <c r="E44" s="558" t="s">
        <v>84</v>
      </c>
      <c r="F44" s="551" t="s">
        <v>2040</v>
      </c>
    </row>
    <row r="45" spans="1:6" x14ac:dyDescent="0.2">
      <c r="A45" s="557" t="str">
        <f t="shared" si="0"/>
        <v>INDEC-CM - 31600-61</v>
      </c>
      <c r="B45" s="557">
        <v>31600</v>
      </c>
      <c r="C45" s="557" t="s">
        <v>45</v>
      </c>
      <c r="D45" s="557">
        <v>61</v>
      </c>
      <c r="E45" s="558" t="s">
        <v>85</v>
      </c>
      <c r="F45" s="551" t="s">
        <v>2040</v>
      </c>
    </row>
    <row r="46" spans="1:6" x14ac:dyDescent="0.2">
      <c r="A46" s="552" t="str">
        <f t="shared" si="0"/>
        <v>INDEC-CM - 37420-11</v>
      </c>
      <c r="B46" s="552">
        <v>37420</v>
      </c>
      <c r="C46" s="552" t="s">
        <v>45</v>
      </c>
      <c r="D46" s="552">
        <v>11</v>
      </c>
      <c r="E46" s="551" t="s">
        <v>86</v>
      </c>
    </row>
    <row r="47" spans="1:6" x14ac:dyDescent="0.2">
      <c r="A47" s="552" t="str">
        <f t="shared" si="0"/>
        <v>INDEC-CM - 37420-12</v>
      </c>
      <c r="B47" s="552">
        <v>37420</v>
      </c>
      <c r="C47" s="552" t="s">
        <v>45</v>
      </c>
      <c r="D47" s="552">
        <v>12</v>
      </c>
      <c r="E47" s="551" t="s">
        <v>87</v>
      </c>
    </row>
    <row r="48" spans="1:6" x14ac:dyDescent="0.2">
      <c r="A48" s="552" t="str">
        <f t="shared" si="0"/>
        <v>INDEC-CM - 44822-11</v>
      </c>
      <c r="B48" s="552">
        <v>44822</v>
      </c>
      <c r="C48" s="552" t="s">
        <v>45</v>
      </c>
      <c r="D48" s="552">
        <v>11</v>
      </c>
      <c r="E48" s="551" t="s">
        <v>88</v>
      </c>
    </row>
    <row r="49" spans="1:5" x14ac:dyDescent="0.2">
      <c r="A49" s="552" t="str">
        <f t="shared" si="0"/>
        <v>INDEC-CM - 44826-11</v>
      </c>
      <c r="B49" s="552">
        <v>44826</v>
      </c>
      <c r="C49" s="552" t="s">
        <v>45</v>
      </c>
      <c r="D49" s="552">
        <v>11</v>
      </c>
      <c r="E49" s="551" t="s">
        <v>89</v>
      </c>
    </row>
    <row r="50" spans="1:5" x14ac:dyDescent="0.2">
      <c r="A50" s="552" t="str">
        <f t="shared" si="0"/>
        <v>INDEC-CM - 44826-12</v>
      </c>
      <c r="B50" s="552">
        <v>44826</v>
      </c>
      <c r="C50" s="552" t="s">
        <v>45</v>
      </c>
      <c r="D50" s="552">
        <v>12</v>
      </c>
      <c r="E50" s="551" t="s">
        <v>90</v>
      </c>
    </row>
    <row r="51" spans="1:5" x14ac:dyDescent="0.2">
      <c r="A51" s="552" t="str">
        <f t="shared" si="0"/>
        <v>INDEC-CM - 42911-21</v>
      </c>
      <c r="B51" s="552">
        <v>42911</v>
      </c>
      <c r="C51" s="552" t="s">
        <v>45</v>
      </c>
      <c r="D51" s="552">
        <v>21</v>
      </c>
      <c r="E51" s="551" t="s">
        <v>91</v>
      </c>
    </row>
    <row r="52" spans="1:5" x14ac:dyDescent="0.2">
      <c r="A52" s="552" t="str">
        <f t="shared" si="0"/>
        <v>INDEC-CM - 41277-21</v>
      </c>
      <c r="B52" s="552">
        <v>41277</v>
      </c>
      <c r="C52" s="552" t="s">
        <v>45</v>
      </c>
      <c r="D52" s="552">
        <v>21</v>
      </c>
      <c r="E52" s="551" t="s">
        <v>92</v>
      </c>
    </row>
    <row r="53" spans="1:5" x14ac:dyDescent="0.2">
      <c r="A53" s="552" t="str">
        <f t="shared" si="0"/>
        <v>INDEC-CM - 41277-11</v>
      </c>
      <c r="B53" s="552">
        <v>41277</v>
      </c>
      <c r="C53" s="552" t="s">
        <v>45</v>
      </c>
      <c r="D53" s="552">
        <v>11</v>
      </c>
      <c r="E53" s="551" t="s">
        <v>93</v>
      </c>
    </row>
    <row r="54" spans="1:5" x14ac:dyDescent="0.2">
      <c r="A54" s="552" t="str">
        <f t="shared" si="0"/>
        <v>INDEC-CM - 41516-11</v>
      </c>
      <c r="B54" s="552">
        <v>41516</v>
      </c>
      <c r="C54" s="552" t="s">
        <v>45</v>
      </c>
      <c r="D54" s="552">
        <v>11</v>
      </c>
      <c r="E54" s="551" t="s">
        <v>94</v>
      </c>
    </row>
    <row r="55" spans="1:5" x14ac:dyDescent="0.2">
      <c r="A55" s="552" t="str">
        <f t="shared" si="0"/>
        <v>INDEC-CM - 41516-12</v>
      </c>
      <c r="B55" s="552">
        <v>41516</v>
      </c>
      <c r="C55" s="552" t="s">
        <v>45</v>
      </c>
      <c r="D55" s="552">
        <v>12</v>
      </c>
      <c r="E55" s="551" t="s">
        <v>95</v>
      </c>
    </row>
    <row r="56" spans="1:5" x14ac:dyDescent="0.2">
      <c r="A56" s="552" t="str">
        <f t="shared" si="0"/>
        <v>INDEC-CM - 41273-11</v>
      </c>
      <c r="B56" s="552">
        <v>41273</v>
      </c>
      <c r="C56" s="552" t="s">
        <v>45</v>
      </c>
      <c r="D56" s="552">
        <v>11</v>
      </c>
      <c r="E56" s="551" t="s">
        <v>96</v>
      </c>
    </row>
    <row r="57" spans="1:5" x14ac:dyDescent="0.2">
      <c r="A57" s="552" t="str">
        <f t="shared" si="0"/>
        <v>INDEC-CM - 41273-12</v>
      </c>
      <c r="B57" s="552">
        <v>41273</v>
      </c>
      <c r="C57" s="552" t="s">
        <v>45</v>
      </c>
      <c r="D57" s="552">
        <v>12</v>
      </c>
      <c r="E57" s="551" t="s">
        <v>97</v>
      </c>
    </row>
    <row r="58" spans="1:5" x14ac:dyDescent="0.2">
      <c r="A58" s="552" t="str">
        <f t="shared" si="0"/>
        <v>INDEC-CM - 41277-41</v>
      </c>
      <c r="B58" s="552">
        <v>41277</v>
      </c>
      <c r="C58" s="552" t="s">
        <v>45</v>
      </c>
      <c r="D58" s="552">
        <v>41</v>
      </c>
      <c r="E58" s="551" t="s">
        <v>98</v>
      </c>
    </row>
    <row r="59" spans="1:5" x14ac:dyDescent="0.2">
      <c r="A59" s="552" t="str">
        <f t="shared" si="0"/>
        <v>INDEC-CM - 41277-31</v>
      </c>
      <c r="B59" s="552">
        <v>41277</v>
      </c>
      <c r="C59" s="552" t="s">
        <v>45</v>
      </c>
      <c r="D59" s="552">
        <v>31</v>
      </c>
      <c r="E59" s="551" t="s">
        <v>99</v>
      </c>
    </row>
    <row r="60" spans="1:5" x14ac:dyDescent="0.2">
      <c r="A60" s="552" t="str">
        <f t="shared" si="0"/>
        <v>INDEC-CM - 41543-11</v>
      </c>
      <c r="B60" s="552">
        <v>41543</v>
      </c>
      <c r="C60" s="552" t="s">
        <v>45</v>
      </c>
      <c r="D60" s="552">
        <v>11</v>
      </c>
      <c r="E60" s="551" t="s">
        <v>100</v>
      </c>
    </row>
    <row r="61" spans="1:5" x14ac:dyDescent="0.2">
      <c r="A61" s="552" t="str">
        <f t="shared" si="0"/>
        <v>INDEC-CM - 36320-21</v>
      </c>
      <c r="B61" s="552">
        <v>36320</v>
      </c>
      <c r="C61" s="552" t="s">
        <v>45</v>
      </c>
      <c r="D61" s="552">
        <v>21</v>
      </c>
      <c r="E61" s="551" t="s">
        <v>101</v>
      </c>
    </row>
    <row r="62" spans="1:5" x14ac:dyDescent="0.2">
      <c r="A62" s="552" t="str">
        <f t="shared" si="0"/>
        <v>INDEC-CM - 36320-22</v>
      </c>
      <c r="B62" s="552">
        <v>36320</v>
      </c>
      <c r="C62" s="552" t="s">
        <v>45</v>
      </c>
      <c r="D62" s="552">
        <v>22</v>
      </c>
      <c r="E62" s="551" t="s">
        <v>102</v>
      </c>
    </row>
    <row r="63" spans="1:5" x14ac:dyDescent="0.2">
      <c r="A63" s="552" t="str">
        <f t="shared" si="0"/>
        <v>INDEC-CM - 36320-11</v>
      </c>
      <c r="B63" s="552">
        <v>36320</v>
      </c>
      <c r="C63" s="552" t="s">
        <v>45</v>
      </c>
      <c r="D63" s="552">
        <v>11</v>
      </c>
      <c r="E63" s="551" t="s">
        <v>103</v>
      </c>
    </row>
    <row r="64" spans="1:5" x14ac:dyDescent="0.2">
      <c r="A64" s="552" t="str">
        <f t="shared" si="0"/>
        <v>INDEC-CM - 36320-12</v>
      </c>
      <c r="B64" s="552">
        <v>36320</v>
      </c>
      <c r="C64" s="552" t="s">
        <v>45</v>
      </c>
      <c r="D64" s="552">
        <v>12</v>
      </c>
      <c r="E64" s="551" t="s">
        <v>104</v>
      </c>
    </row>
    <row r="65" spans="1:7" x14ac:dyDescent="0.2">
      <c r="A65" s="552" t="str">
        <f t="shared" si="0"/>
        <v>INDEC-CM - 15320-11</v>
      </c>
      <c r="B65" s="552">
        <v>15320</v>
      </c>
      <c r="C65" s="552" t="s">
        <v>45</v>
      </c>
      <c r="D65" s="552">
        <v>11</v>
      </c>
      <c r="E65" s="551" t="s">
        <v>105</v>
      </c>
    </row>
    <row r="66" spans="1:7" x14ac:dyDescent="0.2">
      <c r="A66" s="552" t="str">
        <f t="shared" si="0"/>
        <v>INDEC-CM - 37350-61</v>
      </c>
      <c r="B66" s="552">
        <v>37350</v>
      </c>
      <c r="C66" s="552" t="s">
        <v>45</v>
      </c>
      <c r="D66" s="552">
        <v>61</v>
      </c>
      <c r="E66" s="556" t="s">
        <v>106</v>
      </c>
      <c r="F66" s="556"/>
      <c r="G66" s="556"/>
    </row>
    <row r="67" spans="1:7" x14ac:dyDescent="0.2">
      <c r="A67" s="552" t="str">
        <f t="shared" si="0"/>
        <v>INDEC-CM - 37440-31</v>
      </c>
      <c r="B67" s="552">
        <v>37440</v>
      </c>
      <c r="C67" s="552" t="s">
        <v>45</v>
      </c>
      <c r="D67" s="552">
        <v>31</v>
      </c>
      <c r="E67" s="551" t="s">
        <v>107</v>
      </c>
    </row>
    <row r="68" spans="1:7" x14ac:dyDescent="0.2">
      <c r="A68" s="552" t="str">
        <f t="shared" si="0"/>
        <v>INDEC-CM - 37440-11</v>
      </c>
      <c r="B68" s="552">
        <v>37440</v>
      </c>
      <c r="C68" s="552" t="s">
        <v>45</v>
      </c>
      <c r="D68" s="552">
        <v>11</v>
      </c>
      <c r="E68" s="551" t="s">
        <v>108</v>
      </c>
    </row>
    <row r="69" spans="1:7" x14ac:dyDescent="0.2">
      <c r="A69" s="552" t="str">
        <f t="shared" si="0"/>
        <v>INDEC-CM - 44821-21</v>
      </c>
      <c r="B69" s="552">
        <v>44821</v>
      </c>
      <c r="C69" s="552" t="s">
        <v>45</v>
      </c>
      <c r="D69" s="552">
        <v>21</v>
      </c>
      <c r="E69" s="551" t="s">
        <v>109</v>
      </c>
    </row>
    <row r="70" spans="1:7" x14ac:dyDescent="0.2">
      <c r="A70" s="552" t="str">
        <f t="shared" ref="A70:A133" si="1">CONCATENATE("INDEC-CM - ",B70,C70,D70)</f>
        <v>INDEC-CM - 36320-31</v>
      </c>
      <c r="B70" s="552">
        <v>36320</v>
      </c>
      <c r="C70" s="552" t="s">
        <v>45</v>
      </c>
      <c r="D70" s="552">
        <v>31</v>
      </c>
      <c r="E70" s="551" t="s">
        <v>110</v>
      </c>
    </row>
    <row r="71" spans="1:7" x14ac:dyDescent="0.2">
      <c r="A71" s="552" t="str">
        <f t="shared" si="1"/>
        <v>INDEC-CM - 41278-12</v>
      </c>
      <c r="B71" s="552">
        <v>41278</v>
      </c>
      <c r="C71" s="552" t="s">
        <v>45</v>
      </c>
      <c r="D71" s="552">
        <v>12</v>
      </c>
      <c r="E71" s="556" t="s">
        <v>111</v>
      </c>
      <c r="F71" s="556"/>
      <c r="G71" s="556"/>
    </row>
    <row r="72" spans="1:7" x14ac:dyDescent="0.2">
      <c r="A72" s="552" t="str">
        <f t="shared" si="1"/>
        <v>INDEC-CM - 41278-11</v>
      </c>
      <c r="B72" s="552">
        <v>41278</v>
      </c>
      <c r="C72" s="552" t="s">
        <v>45</v>
      </c>
      <c r="D72" s="552">
        <v>11</v>
      </c>
      <c r="E72" s="556" t="s">
        <v>112</v>
      </c>
      <c r="F72" s="556"/>
      <c r="G72" s="556"/>
    </row>
    <row r="73" spans="1:7" x14ac:dyDescent="0.2">
      <c r="A73" s="552" t="str">
        <f t="shared" si="1"/>
        <v>INDEC-CM - 36320-41</v>
      </c>
      <c r="B73" s="552">
        <v>36320</v>
      </c>
      <c r="C73" s="552" t="s">
        <v>45</v>
      </c>
      <c r="D73" s="552">
        <v>41</v>
      </c>
      <c r="E73" s="551" t="s">
        <v>113</v>
      </c>
    </row>
    <row r="74" spans="1:7" x14ac:dyDescent="0.2">
      <c r="A74" s="552" t="str">
        <f t="shared" si="1"/>
        <v>INDEC-CM - 41516-21</v>
      </c>
      <c r="B74" s="552">
        <v>41516</v>
      </c>
      <c r="C74" s="552" t="s">
        <v>45</v>
      </c>
      <c r="D74" s="552">
        <v>21</v>
      </c>
      <c r="E74" s="551" t="s">
        <v>114</v>
      </c>
    </row>
    <row r="75" spans="1:7" x14ac:dyDescent="0.2">
      <c r="A75" s="557" t="str">
        <f t="shared" si="1"/>
        <v>INDEC-CM - 41278-22</v>
      </c>
      <c r="B75" s="557">
        <v>41278</v>
      </c>
      <c r="C75" s="557" t="s">
        <v>45</v>
      </c>
      <c r="D75" s="557">
        <v>22</v>
      </c>
      <c r="E75" s="559" t="s">
        <v>115</v>
      </c>
      <c r="F75" s="551" t="s">
        <v>2040</v>
      </c>
    </row>
    <row r="76" spans="1:7" x14ac:dyDescent="0.2">
      <c r="A76" s="552" t="str">
        <f t="shared" si="1"/>
        <v>INDEC-CM - 46350-11</v>
      </c>
      <c r="B76" s="552">
        <v>46350</v>
      </c>
      <c r="C76" s="552" t="s">
        <v>45</v>
      </c>
      <c r="D76" s="552">
        <v>11</v>
      </c>
      <c r="E76" s="551" t="s">
        <v>116</v>
      </c>
    </row>
    <row r="77" spans="1:7" x14ac:dyDescent="0.2">
      <c r="A77" s="552" t="str">
        <f t="shared" si="1"/>
        <v>INDEC-CM - 41278-41</v>
      </c>
      <c r="B77" s="552">
        <v>41278</v>
      </c>
      <c r="C77" s="552" t="s">
        <v>45</v>
      </c>
      <c r="D77" s="552">
        <v>41</v>
      </c>
      <c r="E77" s="556" t="s">
        <v>117</v>
      </c>
      <c r="F77" s="556"/>
      <c r="G77" s="556"/>
    </row>
    <row r="78" spans="1:7" x14ac:dyDescent="0.2">
      <c r="A78" s="552" t="str">
        <f t="shared" si="1"/>
        <v>INDEC-CM - 42999-11</v>
      </c>
      <c r="B78" s="552">
        <v>42999</v>
      </c>
      <c r="C78" s="552" t="s">
        <v>45</v>
      </c>
      <c r="D78" s="552">
        <v>11</v>
      </c>
      <c r="E78" s="551" t="s">
        <v>118</v>
      </c>
    </row>
    <row r="79" spans="1:7" x14ac:dyDescent="0.2">
      <c r="A79" s="552" t="str">
        <f t="shared" si="1"/>
        <v>INDEC-CM - 36320-51</v>
      </c>
      <c r="B79" s="552">
        <v>36320</v>
      </c>
      <c r="C79" s="552" t="s">
        <v>45</v>
      </c>
      <c r="D79" s="552">
        <v>51</v>
      </c>
      <c r="E79" s="551" t="s">
        <v>119</v>
      </c>
    </row>
    <row r="80" spans="1:7" x14ac:dyDescent="0.2">
      <c r="A80" s="552" t="str">
        <f t="shared" si="1"/>
        <v>INDEC-CM - 31600-12</v>
      </c>
      <c r="B80" s="552">
        <v>31600</v>
      </c>
      <c r="C80" s="552" t="s">
        <v>45</v>
      </c>
      <c r="D80" s="552">
        <v>12</v>
      </c>
      <c r="E80" s="551" t="s">
        <v>120</v>
      </c>
    </row>
    <row r="81" spans="1:7" x14ac:dyDescent="0.2">
      <c r="A81" s="552" t="str">
        <f t="shared" si="1"/>
        <v>INDEC-CM - 36950-11</v>
      </c>
      <c r="B81" s="552">
        <v>36950</v>
      </c>
      <c r="C81" s="552" t="s">
        <v>45</v>
      </c>
      <c r="D81" s="552">
        <v>11</v>
      </c>
      <c r="E81" s="551" t="s">
        <v>121</v>
      </c>
    </row>
    <row r="82" spans="1:7" x14ac:dyDescent="0.2">
      <c r="A82" s="552" t="str">
        <f t="shared" si="1"/>
        <v>INDEC-CM - 31600-11</v>
      </c>
      <c r="B82" s="552">
        <v>31600</v>
      </c>
      <c r="C82" s="552" t="s">
        <v>45</v>
      </c>
      <c r="D82" s="552">
        <v>11</v>
      </c>
      <c r="E82" s="551" t="s">
        <v>122</v>
      </c>
    </row>
    <row r="83" spans="1:7" x14ac:dyDescent="0.2">
      <c r="A83" s="552" t="str">
        <f t="shared" si="1"/>
        <v>INDEC-CM - 37112-11</v>
      </c>
      <c r="B83" s="552">
        <v>37112</v>
      </c>
      <c r="C83" s="552" t="s">
        <v>45</v>
      </c>
      <c r="D83" s="552">
        <v>11</v>
      </c>
      <c r="E83" s="551" t="s">
        <v>123</v>
      </c>
    </row>
    <row r="84" spans="1:7" x14ac:dyDescent="0.2">
      <c r="A84" s="552" t="str">
        <f t="shared" si="1"/>
        <v>INDEC-CM - 41278-31</v>
      </c>
      <c r="B84" s="552">
        <v>41278</v>
      </c>
      <c r="C84" s="552" t="s">
        <v>45</v>
      </c>
      <c r="D84" s="552">
        <v>31</v>
      </c>
      <c r="E84" s="556" t="s">
        <v>124</v>
      </c>
      <c r="F84" s="556"/>
      <c r="G84" s="556"/>
    </row>
    <row r="85" spans="1:7" x14ac:dyDescent="0.2">
      <c r="A85" s="552" t="str">
        <f t="shared" si="1"/>
        <v>INDEC-CM - 41278-13</v>
      </c>
      <c r="B85" s="552">
        <v>41278</v>
      </c>
      <c r="C85" s="552" t="s">
        <v>45</v>
      </c>
      <c r="D85" s="552">
        <v>13</v>
      </c>
      <c r="E85" s="556" t="s">
        <v>125</v>
      </c>
      <c r="F85" s="556"/>
      <c r="G85" s="556"/>
    </row>
    <row r="86" spans="1:7" x14ac:dyDescent="0.2">
      <c r="A86" s="552" t="str">
        <f t="shared" si="1"/>
        <v>INDEC-CM - 37570-11</v>
      </c>
      <c r="B86" s="552">
        <v>37570</v>
      </c>
      <c r="C86" s="552" t="s">
        <v>45</v>
      </c>
      <c r="D86" s="552">
        <v>11</v>
      </c>
      <c r="E86" s="556" t="s">
        <v>126</v>
      </c>
      <c r="F86" s="556"/>
      <c r="G86" s="556"/>
    </row>
    <row r="87" spans="1:7" x14ac:dyDescent="0.2">
      <c r="A87" s="552" t="str">
        <f t="shared" si="1"/>
        <v>INDEC-CM - 43220-11</v>
      </c>
      <c r="B87" s="552">
        <v>43220</v>
      </c>
      <c r="C87" s="552" t="s">
        <v>45</v>
      </c>
      <c r="D87" s="552">
        <v>11</v>
      </c>
      <c r="E87" s="551" t="s">
        <v>127</v>
      </c>
    </row>
    <row r="88" spans="1:7" x14ac:dyDescent="0.2">
      <c r="A88" s="552" t="str">
        <f t="shared" si="1"/>
        <v>INDEC-CM - 43220-12</v>
      </c>
      <c r="B88" s="552">
        <v>43220</v>
      </c>
      <c r="C88" s="552" t="s">
        <v>45</v>
      </c>
      <c r="D88" s="552">
        <v>12</v>
      </c>
      <c r="E88" s="551" t="s">
        <v>128</v>
      </c>
    </row>
    <row r="89" spans="1:7" x14ac:dyDescent="0.2">
      <c r="A89" s="552" t="str">
        <f t="shared" si="1"/>
        <v>INDEC-CM - 43220-21</v>
      </c>
      <c r="B89" s="552">
        <v>43220</v>
      </c>
      <c r="C89" s="552" t="s">
        <v>45</v>
      </c>
      <c r="D89" s="552">
        <v>21</v>
      </c>
      <c r="E89" s="551" t="s">
        <v>129</v>
      </c>
    </row>
    <row r="90" spans="1:7" x14ac:dyDescent="0.2">
      <c r="A90" s="552" t="str">
        <f t="shared" si="1"/>
        <v>INDEC-CM - 43220-22</v>
      </c>
      <c r="B90" s="552">
        <v>43220</v>
      </c>
      <c r="C90" s="552" t="s">
        <v>45</v>
      </c>
      <c r="D90" s="552">
        <v>22</v>
      </c>
      <c r="E90" s="551" t="s">
        <v>130</v>
      </c>
    </row>
    <row r="91" spans="1:7" x14ac:dyDescent="0.2">
      <c r="A91" s="552" t="str">
        <f t="shared" si="1"/>
        <v>INDEC-CM - 43220-23</v>
      </c>
      <c r="B91" s="552">
        <v>43220</v>
      </c>
      <c r="C91" s="552" t="s">
        <v>45</v>
      </c>
      <c r="D91" s="552">
        <v>23</v>
      </c>
      <c r="E91" s="551" t="s">
        <v>131</v>
      </c>
    </row>
    <row r="92" spans="1:7" x14ac:dyDescent="0.2">
      <c r="A92" s="552" t="str">
        <f t="shared" si="1"/>
        <v>INDEC-CM - 43220-31</v>
      </c>
      <c r="B92" s="552">
        <v>43220</v>
      </c>
      <c r="C92" s="552" t="s">
        <v>45</v>
      </c>
      <c r="D92" s="552">
        <v>31</v>
      </c>
      <c r="E92" s="551" t="s">
        <v>132</v>
      </c>
    </row>
    <row r="93" spans="1:7" x14ac:dyDescent="0.2">
      <c r="A93" s="552" t="str">
        <f t="shared" si="1"/>
        <v>INDEC-CM - 43220-32</v>
      </c>
      <c r="B93" s="552">
        <v>43220</v>
      </c>
      <c r="C93" s="552" t="s">
        <v>45</v>
      </c>
      <c r="D93" s="552">
        <v>32</v>
      </c>
      <c r="E93" s="551" t="s">
        <v>133</v>
      </c>
    </row>
    <row r="94" spans="1:7" x14ac:dyDescent="0.2">
      <c r="A94" s="552" t="str">
        <f t="shared" si="1"/>
        <v>INDEC-CM - 41278-32</v>
      </c>
      <c r="B94" s="552">
        <v>41278</v>
      </c>
      <c r="C94" s="552" t="s">
        <v>45</v>
      </c>
      <c r="D94" s="552">
        <v>32</v>
      </c>
      <c r="E94" s="556" t="s">
        <v>134</v>
      </c>
      <c r="F94" s="556"/>
      <c r="G94" s="556"/>
    </row>
    <row r="95" spans="1:7" x14ac:dyDescent="0.2">
      <c r="A95" s="552" t="str">
        <f t="shared" si="1"/>
        <v>INDEC-CM - 36320-32</v>
      </c>
      <c r="B95" s="552">
        <v>36320</v>
      </c>
      <c r="C95" s="552" t="s">
        <v>45</v>
      </c>
      <c r="D95" s="552">
        <v>32</v>
      </c>
      <c r="E95" s="551" t="s">
        <v>135</v>
      </c>
    </row>
    <row r="96" spans="1:7" x14ac:dyDescent="0.2">
      <c r="A96" s="557" t="str">
        <f t="shared" si="1"/>
        <v>INDEC-CM - 41278-23</v>
      </c>
      <c r="B96" s="557">
        <v>41278</v>
      </c>
      <c r="C96" s="557" t="s">
        <v>45</v>
      </c>
      <c r="D96" s="557">
        <v>23</v>
      </c>
      <c r="E96" s="559" t="s">
        <v>136</v>
      </c>
      <c r="F96" s="551" t="s">
        <v>2040</v>
      </c>
    </row>
    <row r="97" spans="1:6" x14ac:dyDescent="0.2">
      <c r="A97" s="552" t="str">
        <f t="shared" si="1"/>
        <v>INDEC-CM - 35110-11</v>
      </c>
      <c r="B97" s="552">
        <v>35110</v>
      </c>
      <c r="C97" s="552" t="s">
        <v>45</v>
      </c>
      <c r="D97" s="552">
        <v>11</v>
      </c>
      <c r="E97" s="551" t="s">
        <v>137</v>
      </c>
    </row>
    <row r="98" spans="1:6" x14ac:dyDescent="0.2">
      <c r="A98" s="552" t="str">
        <f t="shared" si="1"/>
        <v>INDEC-CM - 35110-12</v>
      </c>
      <c r="B98" s="552">
        <v>35110</v>
      </c>
      <c r="C98" s="552" t="s">
        <v>45</v>
      </c>
      <c r="D98" s="552">
        <v>12</v>
      </c>
      <c r="E98" s="551" t="s">
        <v>138</v>
      </c>
    </row>
    <row r="99" spans="1:6" x14ac:dyDescent="0.2">
      <c r="A99" s="552" t="str">
        <f t="shared" si="1"/>
        <v>INDEC-CM - 35110-21</v>
      </c>
      <c r="B99" s="552">
        <v>35110</v>
      </c>
      <c r="C99" s="552" t="s">
        <v>45</v>
      </c>
      <c r="D99" s="552">
        <v>21</v>
      </c>
      <c r="E99" s="551" t="s">
        <v>139</v>
      </c>
    </row>
    <row r="100" spans="1:6" x14ac:dyDescent="0.2">
      <c r="A100" s="552" t="str">
        <f t="shared" si="1"/>
        <v>INDEC-CM - 35110-22</v>
      </c>
      <c r="B100" s="552">
        <v>35110</v>
      </c>
      <c r="C100" s="552" t="s">
        <v>45</v>
      </c>
      <c r="D100" s="552">
        <v>22</v>
      </c>
      <c r="E100" s="551" t="s">
        <v>140</v>
      </c>
    </row>
    <row r="101" spans="1:6" x14ac:dyDescent="0.2">
      <c r="A101" s="552" t="str">
        <f t="shared" si="1"/>
        <v>INDEC-CM - 41547-11</v>
      </c>
      <c r="B101" s="552">
        <v>41547</v>
      </c>
      <c r="C101" s="552" t="s">
        <v>45</v>
      </c>
      <c r="D101" s="552">
        <v>11</v>
      </c>
      <c r="E101" s="551" t="s">
        <v>141</v>
      </c>
    </row>
    <row r="102" spans="1:6" x14ac:dyDescent="0.2">
      <c r="A102" s="557" t="str">
        <f t="shared" si="1"/>
        <v>INDEC-CM - 31600-73</v>
      </c>
      <c r="B102" s="557">
        <v>31600</v>
      </c>
      <c r="C102" s="557" t="s">
        <v>45</v>
      </c>
      <c r="D102" s="557">
        <v>73</v>
      </c>
      <c r="E102" s="558" t="s">
        <v>142</v>
      </c>
      <c r="F102" s="551" t="s">
        <v>2040</v>
      </c>
    </row>
    <row r="103" spans="1:6" x14ac:dyDescent="0.2">
      <c r="A103" s="557" t="str">
        <f t="shared" si="1"/>
        <v>INDEC-CM - 31600-72</v>
      </c>
      <c r="B103" s="557">
        <v>31600</v>
      </c>
      <c r="C103" s="557" t="s">
        <v>45</v>
      </c>
      <c r="D103" s="557">
        <v>72</v>
      </c>
      <c r="E103" s="558" t="s">
        <v>143</v>
      </c>
      <c r="F103" s="551" t="s">
        <v>2040</v>
      </c>
    </row>
    <row r="104" spans="1:6" x14ac:dyDescent="0.2">
      <c r="A104" s="557" t="str">
        <f t="shared" si="1"/>
        <v>INDEC-CM - 31600-71</v>
      </c>
      <c r="B104" s="557">
        <v>31600</v>
      </c>
      <c r="C104" s="557" t="s">
        <v>45</v>
      </c>
      <c r="D104" s="557">
        <v>71</v>
      </c>
      <c r="E104" s="558" t="s">
        <v>144</v>
      </c>
      <c r="F104" s="551" t="s">
        <v>2040</v>
      </c>
    </row>
    <row r="105" spans="1:6" x14ac:dyDescent="0.2">
      <c r="A105" s="552" t="str">
        <f t="shared" si="1"/>
        <v>INDEC-CM - 35110-61</v>
      </c>
      <c r="B105" s="552">
        <v>35110</v>
      </c>
      <c r="C105" s="552" t="s">
        <v>45</v>
      </c>
      <c r="D105" s="552">
        <v>61</v>
      </c>
      <c r="E105" s="551" t="s">
        <v>145</v>
      </c>
    </row>
    <row r="106" spans="1:6" x14ac:dyDescent="0.2">
      <c r="A106" s="552" t="str">
        <f t="shared" si="1"/>
        <v>INDEC-CM - 31600-53</v>
      </c>
      <c r="B106" s="552">
        <v>31600</v>
      </c>
      <c r="C106" s="552" t="s">
        <v>45</v>
      </c>
      <c r="D106" s="552">
        <v>53</v>
      </c>
      <c r="E106" s="551" t="s">
        <v>146</v>
      </c>
    </row>
    <row r="107" spans="1:6" x14ac:dyDescent="0.2">
      <c r="A107" s="552" t="str">
        <f t="shared" si="1"/>
        <v>INDEC-CM - 31600-51</v>
      </c>
      <c r="B107" s="552">
        <v>31600</v>
      </c>
      <c r="C107" s="552" t="s">
        <v>45</v>
      </c>
      <c r="D107" s="552">
        <v>51</v>
      </c>
      <c r="E107" s="551" t="s">
        <v>147</v>
      </c>
    </row>
    <row r="108" spans="1:6" x14ac:dyDescent="0.2">
      <c r="A108" s="552" t="str">
        <f t="shared" si="1"/>
        <v>INDEC-CM - 37550-21</v>
      </c>
      <c r="B108" s="552">
        <v>37550</v>
      </c>
      <c r="C108" s="552" t="s">
        <v>45</v>
      </c>
      <c r="D108" s="552">
        <v>21</v>
      </c>
      <c r="E108" s="551" t="s">
        <v>148</v>
      </c>
    </row>
    <row r="109" spans="1:6" x14ac:dyDescent="0.2">
      <c r="A109" s="552" t="str">
        <f t="shared" si="1"/>
        <v>INDEC-CM - 42999-41</v>
      </c>
      <c r="B109" s="552">
        <v>42999</v>
      </c>
      <c r="C109" s="552" t="s">
        <v>45</v>
      </c>
      <c r="D109" s="552">
        <v>41</v>
      </c>
      <c r="E109" s="551" t="s">
        <v>149</v>
      </c>
    </row>
    <row r="110" spans="1:6" x14ac:dyDescent="0.2">
      <c r="A110" s="552" t="str">
        <f t="shared" si="1"/>
        <v>INDEC-CM - 42911-53</v>
      </c>
      <c r="B110" s="552">
        <v>42911</v>
      </c>
      <c r="C110" s="552" t="s">
        <v>45</v>
      </c>
      <c r="D110" s="552">
        <v>53</v>
      </c>
      <c r="E110" s="551" t="s">
        <v>150</v>
      </c>
    </row>
    <row r="111" spans="1:6" x14ac:dyDescent="0.2">
      <c r="A111" s="552" t="str">
        <f t="shared" si="1"/>
        <v>INDEC-CM - 42911-52</v>
      </c>
      <c r="B111" s="552">
        <v>42911</v>
      </c>
      <c r="C111" s="552" t="s">
        <v>45</v>
      </c>
      <c r="D111" s="552">
        <v>52</v>
      </c>
      <c r="E111" s="551" t="s">
        <v>151</v>
      </c>
    </row>
    <row r="112" spans="1:6" x14ac:dyDescent="0.2">
      <c r="A112" s="552" t="str">
        <f t="shared" si="1"/>
        <v>INDEC-CM - 42911-51</v>
      </c>
      <c r="B112" s="552">
        <v>42911</v>
      </c>
      <c r="C112" s="552" t="s">
        <v>45</v>
      </c>
      <c r="D112" s="552">
        <v>51</v>
      </c>
      <c r="E112" s="551" t="s">
        <v>152</v>
      </c>
    </row>
    <row r="113" spans="1:7" x14ac:dyDescent="0.2">
      <c r="A113" s="552" t="str">
        <f t="shared" si="1"/>
        <v>INDEC-CM - 42911-43</v>
      </c>
      <c r="B113" s="552">
        <v>42911</v>
      </c>
      <c r="C113" s="552" t="s">
        <v>45</v>
      </c>
      <c r="D113" s="552">
        <v>43</v>
      </c>
      <c r="E113" s="551" t="s">
        <v>153</v>
      </c>
    </row>
    <row r="114" spans="1:7" x14ac:dyDescent="0.2">
      <c r="A114" s="552" t="str">
        <f t="shared" si="1"/>
        <v>INDEC-CM - 42911-42</v>
      </c>
      <c r="B114" s="552">
        <v>42911</v>
      </c>
      <c r="C114" s="552" t="s">
        <v>45</v>
      </c>
      <c r="D114" s="552">
        <v>42</v>
      </c>
      <c r="E114" s="551" t="s">
        <v>154</v>
      </c>
    </row>
    <row r="115" spans="1:7" x14ac:dyDescent="0.2">
      <c r="A115" s="552" t="str">
        <f t="shared" si="1"/>
        <v>INDEC-CM - 42911-41</v>
      </c>
      <c r="B115" s="552">
        <v>42911</v>
      </c>
      <c r="C115" s="552" t="s">
        <v>45</v>
      </c>
      <c r="D115" s="552">
        <v>41</v>
      </c>
      <c r="E115" s="551" t="s">
        <v>155</v>
      </c>
    </row>
    <row r="116" spans="1:7" x14ac:dyDescent="0.2">
      <c r="A116" s="552" t="str">
        <f t="shared" si="1"/>
        <v>INDEC-CM - 42911-56</v>
      </c>
      <c r="B116" s="552">
        <v>42911</v>
      </c>
      <c r="C116" s="552" t="s">
        <v>45</v>
      </c>
      <c r="D116" s="552">
        <v>56</v>
      </c>
      <c r="E116" s="551" t="s">
        <v>156</v>
      </c>
    </row>
    <row r="117" spans="1:7" x14ac:dyDescent="0.2">
      <c r="A117" s="552" t="str">
        <f t="shared" si="1"/>
        <v>INDEC-CM - 42911-55</v>
      </c>
      <c r="B117" s="552">
        <v>42911</v>
      </c>
      <c r="C117" s="552" t="s">
        <v>45</v>
      </c>
      <c r="D117" s="552">
        <v>55</v>
      </c>
      <c r="E117" s="551" t="s">
        <v>157</v>
      </c>
    </row>
    <row r="118" spans="1:7" x14ac:dyDescent="0.2">
      <c r="A118" s="552" t="str">
        <f t="shared" si="1"/>
        <v>INDEC-CM - 42911-54</v>
      </c>
      <c r="B118" s="552">
        <v>42911</v>
      </c>
      <c r="C118" s="552" t="s">
        <v>45</v>
      </c>
      <c r="D118" s="552">
        <v>54</v>
      </c>
      <c r="E118" s="551" t="s">
        <v>158</v>
      </c>
    </row>
    <row r="119" spans="1:7" x14ac:dyDescent="0.2">
      <c r="A119" s="552" t="str">
        <f t="shared" si="1"/>
        <v>INDEC-CM - 42911-32</v>
      </c>
      <c r="B119" s="552">
        <v>42911</v>
      </c>
      <c r="C119" s="552" t="s">
        <v>45</v>
      </c>
      <c r="D119" s="552">
        <v>32</v>
      </c>
      <c r="E119" s="551" t="s">
        <v>159</v>
      </c>
    </row>
    <row r="120" spans="1:7" x14ac:dyDescent="0.2">
      <c r="A120" s="552" t="str">
        <f t="shared" si="1"/>
        <v>INDEC-CM - 42911-31</v>
      </c>
      <c r="B120" s="552">
        <v>42911</v>
      </c>
      <c r="C120" s="552" t="s">
        <v>45</v>
      </c>
      <c r="D120" s="552">
        <v>31</v>
      </c>
      <c r="E120" s="551" t="s">
        <v>160</v>
      </c>
    </row>
    <row r="121" spans="1:7" x14ac:dyDescent="0.2">
      <c r="A121" s="552" t="str">
        <f t="shared" si="1"/>
        <v>INDEC-CM - 42911-59</v>
      </c>
      <c r="B121" s="552">
        <v>42911</v>
      </c>
      <c r="C121" s="552" t="s">
        <v>45</v>
      </c>
      <c r="D121" s="552">
        <v>59</v>
      </c>
      <c r="E121" s="551" t="s">
        <v>161</v>
      </c>
    </row>
    <row r="122" spans="1:7" x14ac:dyDescent="0.2">
      <c r="A122" s="552" t="str">
        <f t="shared" si="1"/>
        <v>INDEC-CM - 42911-58</v>
      </c>
      <c r="B122" s="552">
        <v>42911</v>
      </c>
      <c r="C122" s="552" t="s">
        <v>45</v>
      </c>
      <c r="D122" s="552">
        <v>58</v>
      </c>
      <c r="E122" s="556" t="s">
        <v>162</v>
      </c>
      <c r="F122" s="556"/>
      <c r="G122" s="556"/>
    </row>
    <row r="123" spans="1:7" x14ac:dyDescent="0.2">
      <c r="A123" s="552" t="str">
        <f t="shared" si="1"/>
        <v>INDEC-CM - 42911-57</v>
      </c>
      <c r="B123" s="552">
        <v>42911</v>
      </c>
      <c r="C123" s="552" t="s">
        <v>45</v>
      </c>
      <c r="D123" s="552">
        <v>57</v>
      </c>
      <c r="E123" s="556" t="s">
        <v>163</v>
      </c>
      <c r="F123" s="556"/>
      <c r="G123" s="556"/>
    </row>
    <row r="124" spans="1:7" x14ac:dyDescent="0.2">
      <c r="A124" s="552" t="str">
        <f t="shared" si="1"/>
        <v>INDEC-CM - 43923-21</v>
      </c>
      <c r="B124" s="552">
        <v>43923</v>
      </c>
      <c r="C124" s="552" t="s">
        <v>45</v>
      </c>
      <c r="D124" s="552">
        <v>21</v>
      </c>
      <c r="E124" s="556" t="s">
        <v>164</v>
      </c>
      <c r="F124" s="556"/>
      <c r="G124" s="556"/>
    </row>
    <row r="125" spans="1:7" x14ac:dyDescent="0.2">
      <c r="A125" s="552" t="str">
        <f t="shared" si="1"/>
        <v>INDEC-CM - 37510-11</v>
      </c>
      <c r="B125" s="552">
        <v>37510</v>
      </c>
      <c r="C125" s="552" t="s">
        <v>45</v>
      </c>
      <c r="D125" s="552">
        <v>11</v>
      </c>
      <c r="E125" s="551" t="s">
        <v>165</v>
      </c>
    </row>
    <row r="126" spans="1:7" x14ac:dyDescent="0.2">
      <c r="A126" s="552" t="str">
        <f t="shared" si="1"/>
        <v>INDEC-CM - 44821-31</v>
      </c>
      <c r="B126" s="552">
        <v>44821</v>
      </c>
      <c r="C126" s="552" t="s">
        <v>45</v>
      </c>
      <c r="D126" s="552">
        <v>31</v>
      </c>
      <c r="E126" s="551" t="s">
        <v>166</v>
      </c>
    </row>
    <row r="127" spans="1:7" x14ac:dyDescent="0.2">
      <c r="A127" s="552" t="str">
        <f t="shared" si="1"/>
        <v>INDEC-CM - 46531-12</v>
      </c>
      <c r="B127" s="552">
        <v>46531</v>
      </c>
      <c r="C127" s="552" t="s">
        <v>45</v>
      </c>
      <c r="D127" s="552">
        <v>12</v>
      </c>
      <c r="E127" s="556" t="s">
        <v>167</v>
      </c>
      <c r="F127" s="556"/>
      <c r="G127" s="556"/>
    </row>
    <row r="128" spans="1:7" x14ac:dyDescent="0.2">
      <c r="A128" s="552" t="str">
        <f t="shared" si="1"/>
        <v>INDEC-CM - 37210-13</v>
      </c>
      <c r="B128" s="552">
        <v>37210</v>
      </c>
      <c r="C128" s="552" t="s">
        <v>45</v>
      </c>
      <c r="D128" s="552">
        <v>13</v>
      </c>
      <c r="E128" s="551" t="s">
        <v>168</v>
      </c>
    </row>
    <row r="129" spans="1:7" x14ac:dyDescent="0.2">
      <c r="A129" s="552" t="str">
        <f t="shared" si="1"/>
        <v>INDEC-CM - 37210-12</v>
      </c>
      <c r="B129" s="552">
        <v>37210</v>
      </c>
      <c r="C129" s="552" t="s">
        <v>45</v>
      </c>
      <c r="D129" s="552">
        <v>12</v>
      </c>
      <c r="E129" s="551" t="s">
        <v>169</v>
      </c>
    </row>
    <row r="130" spans="1:7" x14ac:dyDescent="0.2">
      <c r="A130" s="552" t="str">
        <f t="shared" si="1"/>
        <v>INDEC-CM - 37210-11</v>
      </c>
      <c r="B130" s="552">
        <v>37210</v>
      </c>
      <c r="C130" s="552" t="s">
        <v>45</v>
      </c>
      <c r="D130" s="552">
        <v>11</v>
      </c>
      <c r="E130" s="556" t="s">
        <v>170</v>
      </c>
      <c r="F130" s="556"/>
      <c r="G130" s="556"/>
    </row>
    <row r="131" spans="1:7" x14ac:dyDescent="0.2">
      <c r="A131" s="552" t="str">
        <f t="shared" si="1"/>
        <v>INDEC-CM - 46212-11</v>
      </c>
      <c r="B131" s="552">
        <v>46212</v>
      </c>
      <c r="C131" s="552" t="s">
        <v>45</v>
      </c>
      <c r="D131" s="552">
        <v>11</v>
      </c>
      <c r="E131" s="551" t="s">
        <v>171</v>
      </c>
    </row>
    <row r="132" spans="1:7" x14ac:dyDescent="0.2">
      <c r="A132" s="552" t="str">
        <f t="shared" si="1"/>
        <v>INDEC-CM - 46212-51</v>
      </c>
      <c r="B132" s="552">
        <v>46212</v>
      </c>
      <c r="C132" s="552" t="s">
        <v>45</v>
      </c>
      <c r="D132" s="552">
        <v>51</v>
      </c>
      <c r="E132" s="551" t="s">
        <v>172</v>
      </c>
    </row>
    <row r="133" spans="1:7" x14ac:dyDescent="0.2">
      <c r="A133" s="552" t="str">
        <f t="shared" si="1"/>
        <v>INDEC-CM - 46212-31</v>
      </c>
      <c r="B133" s="552">
        <v>46212</v>
      </c>
      <c r="C133" s="552" t="s">
        <v>45</v>
      </c>
      <c r="D133" s="552">
        <v>31</v>
      </c>
      <c r="E133" s="551" t="s">
        <v>173</v>
      </c>
    </row>
    <row r="134" spans="1:7" x14ac:dyDescent="0.2">
      <c r="A134" s="552" t="str">
        <f t="shared" ref="A134:A197" si="2">CONCATENATE("INDEC-CM - ",B134,C134,D134)</f>
        <v>INDEC-CM - 46212-41</v>
      </c>
      <c r="B134" s="552">
        <v>46212</v>
      </c>
      <c r="C134" s="552" t="s">
        <v>45</v>
      </c>
      <c r="D134" s="552">
        <v>41</v>
      </c>
      <c r="E134" s="551" t="s">
        <v>174</v>
      </c>
    </row>
    <row r="135" spans="1:7" x14ac:dyDescent="0.2">
      <c r="A135" s="552" t="str">
        <f t="shared" si="2"/>
        <v>INDEC-CM - 42999-51</v>
      </c>
      <c r="B135" s="552">
        <v>42999</v>
      </c>
      <c r="C135" s="552" t="s">
        <v>45</v>
      </c>
      <c r="D135" s="552">
        <v>51</v>
      </c>
      <c r="E135" s="551" t="s">
        <v>175</v>
      </c>
    </row>
    <row r="136" spans="1:7" x14ac:dyDescent="0.2">
      <c r="A136" s="552" t="str">
        <f t="shared" si="2"/>
        <v>INDEC-CM - 35110-51</v>
      </c>
      <c r="B136" s="552">
        <v>35110</v>
      </c>
      <c r="C136" s="552" t="s">
        <v>45</v>
      </c>
      <c r="D136" s="552">
        <v>51</v>
      </c>
      <c r="E136" s="551" t="s">
        <v>176</v>
      </c>
    </row>
    <row r="137" spans="1:7" x14ac:dyDescent="0.2">
      <c r="A137" s="552" t="str">
        <f t="shared" si="2"/>
        <v>INDEC-CM - 37350-11</v>
      </c>
      <c r="B137" s="552">
        <v>37350</v>
      </c>
      <c r="C137" s="552" t="s">
        <v>45</v>
      </c>
      <c r="D137" s="552">
        <v>11</v>
      </c>
      <c r="E137" s="551" t="s">
        <v>177</v>
      </c>
    </row>
    <row r="138" spans="1:7" x14ac:dyDescent="0.2">
      <c r="A138" s="552" t="str">
        <f t="shared" si="2"/>
        <v>INDEC-CM - 37350-41</v>
      </c>
      <c r="B138" s="552">
        <v>37350</v>
      </c>
      <c r="C138" s="552" t="s">
        <v>45</v>
      </c>
      <c r="D138" s="552">
        <v>41</v>
      </c>
      <c r="E138" s="551" t="s">
        <v>178</v>
      </c>
    </row>
    <row r="139" spans="1:7" x14ac:dyDescent="0.2">
      <c r="A139" s="552" t="str">
        <f t="shared" si="2"/>
        <v>INDEC-CM - 37350-21</v>
      </c>
      <c r="B139" s="552">
        <v>37350</v>
      </c>
      <c r="C139" s="552" t="s">
        <v>45</v>
      </c>
      <c r="D139" s="552">
        <v>21</v>
      </c>
      <c r="E139" s="551" t="s">
        <v>179</v>
      </c>
    </row>
    <row r="140" spans="1:7" x14ac:dyDescent="0.2">
      <c r="A140" s="552" t="str">
        <f t="shared" si="2"/>
        <v>INDEC-CM - 37350-31</v>
      </c>
      <c r="B140" s="552">
        <v>37350</v>
      </c>
      <c r="C140" s="552" t="s">
        <v>45</v>
      </c>
      <c r="D140" s="552">
        <v>31</v>
      </c>
      <c r="E140" s="551" t="s">
        <v>180</v>
      </c>
    </row>
    <row r="141" spans="1:7" x14ac:dyDescent="0.2">
      <c r="A141" s="552" t="str">
        <f t="shared" si="2"/>
        <v>INDEC-CM - 37210-32</v>
      </c>
      <c r="B141" s="552">
        <v>37210</v>
      </c>
      <c r="C141" s="552" t="s">
        <v>45</v>
      </c>
      <c r="D141" s="552">
        <v>32</v>
      </c>
      <c r="E141" s="551" t="s">
        <v>181</v>
      </c>
    </row>
    <row r="142" spans="1:7" x14ac:dyDescent="0.2">
      <c r="A142" s="552" t="str">
        <f t="shared" si="2"/>
        <v>INDEC-CM - 37210-31</v>
      </c>
      <c r="B142" s="552">
        <v>37210</v>
      </c>
      <c r="C142" s="552" t="s">
        <v>45</v>
      </c>
      <c r="D142" s="552">
        <v>31</v>
      </c>
      <c r="E142" s="551" t="s">
        <v>182</v>
      </c>
    </row>
    <row r="143" spans="1:7" x14ac:dyDescent="0.2">
      <c r="A143" s="552" t="str">
        <f t="shared" si="2"/>
        <v>INDEC-CM - 37210-33</v>
      </c>
      <c r="B143" s="552">
        <v>37210</v>
      </c>
      <c r="C143" s="552" t="s">
        <v>45</v>
      </c>
      <c r="D143" s="552">
        <v>33</v>
      </c>
      <c r="E143" s="551" t="s">
        <v>183</v>
      </c>
    </row>
    <row r="144" spans="1:7" x14ac:dyDescent="0.2">
      <c r="A144" s="552" t="str">
        <f t="shared" si="2"/>
        <v>INDEC-CM - 31210-41</v>
      </c>
      <c r="B144" s="552">
        <v>31210</v>
      </c>
      <c r="C144" s="552" t="s">
        <v>45</v>
      </c>
      <c r="D144" s="552">
        <v>41</v>
      </c>
      <c r="E144" s="551" t="s">
        <v>184</v>
      </c>
    </row>
    <row r="145" spans="1:7" x14ac:dyDescent="0.2">
      <c r="A145" s="552" t="str">
        <f t="shared" si="2"/>
        <v>INDEC-CM - 43240-21</v>
      </c>
      <c r="B145" s="552">
        <v>43240</v>
      </c>
      <c r="C145" s="552" t="s">
        <v>45</v>
      </c>
      <c r="D145" s="552">
        <v>21</v>
      </c>
      <c r="E145" s="551" t="s">
        <v>185</v>
      </c>
    </row>
    <row r="146" spans="1:7" x14ac:dyDescent="0.2">
      <c r="A146" s="552" t="str">
        <f t="shared" si="2"/>
        <v>INDEC-CM - 43240-32</v>
      </c>
      <c r="B146" s="552">
        <v>43240</v>
      </c>
      <c r="C146" s="552" t="s">
        <v>45</v>
      </c>
      <c r="D146" s="552">
        <v>32</v>
      </c>
      <c r="E146" s="551" t="s">
        <v>186</v>
      </c>
    </row>
    <row r="147" spans="1:7" x14ac:dyDescent="0.2">
      <c r="A147" s="552" t="str">
        <f t="shared" si="2"/>
        <v>INDEC-CM - 43240-31</v>
      </c>
      <c r="B147" s="552">
        <v>43240</v>
      </c>
      <c r="C147" s="552" t="s">
        <v>45</v>
      </c>
      <c r="D147" s="552">
        <v>31</v>
      </c>
      <c r="E147" s="551" t="s">
        <v>187</v>
      </c>
    </row>
    <row r="148" spans="1:7" x14ac:dyDescent="0.2">
      <c r="A148" s="552" t="str">
        <f t="shared" si="2"/>
        <v>INDEC-CM - 43240-41</v>
      </c>
      <c r="B148" s="552">
        <v>43240</v>
      </c>
      <c r="C148" s="552" t="s">
        <v>45</v>
      </c>
      <c r="D148" s="552">
        <v>41</v>
      </c>
      <c r="E148" s="551" t="s">
        <v>188</v>
      </c>
    </row>
    <row r="149" spans="1:7" x14ac:dyDescent="0.2">
      <c r="A149" s="552" t="str">
        <f t="shared" si="2"/>
        <v>INDEC-CM - 37540-32</v>
      </c>
      <c r="B149" s="552">
        <v>37540</v>
      </c>
      <c r="C149" s="552" t="s">
        <v>45</v>
      </c>
      <c r="D149" s="552">
        <v>32</v>
      </c>
      <c r="E149" s="556" t="s">
        <v>189</v>
      </c>
      <c r="F149" s="556"/>
      <c r="G149" s="556"/>
    </row>
    <row r="150" spans="1:7" x14ac:dyDescent="0.2">
      <c r="A150" s="552" t="str">
        <f t="shared" si="2"/>
        <v>INDEC-CM - 37540-31</v>
      </c>
      <c r="B150" s="552">
        <v>37540</v>
      </c>
      <c r="C150" s="552" t="s">
        <v>45</v>
      </c>
      <c r="D150" s="552">
        <v>31</v>
      </c>
      <c r="E150" s="551" t="s">
        <v>190</v>
      </c>
    </row>
    <row r="151" spans="1:7" x14ac:dyDescent="0.2">
      <c r="A151" s="552" t="str">
        <f t="shared" si="2"/>
        <v>INDEC-CM - 31210-21</v>
      </c>
      <c r="B151" s="552">
        <v>31210</v>
      </c>
      <c r="C151" s="552" t="s">
        <v>45</v>
      </c>
      <c r="D151" s="552">
        <v>21</v>
      </c>
      <c r="E151" s="556" t="s">
        <v>191</v>
      </c>
      <c r="F151" s="556"/>
      <c r="G151" s="556"/>
    </row>
    <row r="152" spans="1:7" x14ac:dyDescent="0.2">
      <c r="A152" s="552" t="str">
        <f t="shared" si="2"/>
        <v>INDEC-CM - 42911-61</v>
      </c>
      <c r="B152" s="552">
        <v>42911</v>
      </c>
      <c r="C152" s="552" t="s">
        <v>45</v>
      </c>
      <c r="D152" s="552">
        <v>61</v>
      </c>
      <c r="E152" s="556" t="s">
        <v>192</v>
      </c>
      <c r="F152" s="556"/>
      <c r="G152" s="556"/>
    </row>
    <row r="153" spans="1:7" x14ac:dyDescent="0.2">
      <c r="A153" s="552" t="str">
        <f t="shared" si="2"/>
        <v>INDEC-CM - 43923-11</v>
      </c>
      <c r="B153" s="552">
        <v>43923</v>
      </c>
      <c r="C153" s="552" t="s">
        <v>45</v>
      </c>
      <c r="D153" s="552">
        <v>11</v>
      </c>
      <c r="E153" s="556" t="s">
        <v>193</v>
      </c>
      <c r="F153" s="556"/>
      <c r="G153" s="556"/>
    </row>
    <row r="154" spans="1:7" x14ac:dyDescent="0.2">
      <c r="A154" s="552" t="str">
        <f t="shared" si="2"/>
        <v>INDEC-CM - 37930-12</v>
      </c>
      <c r="B154" s="552">
        <v>37930</v>
      </c>
      <c r="C154" s="552" t="s">
        <v>45</v>
      </c>
      <c r="D154" s="552">
        <v>12</v>
      </c>
      <c r="E154" s="551" t="s">
        <v>194</v>
      </c>
    </row>
    <row r="155" spans="1:7" x14ac:dyDescent="0.2">
      <c r="A155" s="552" t="str">
        <f t="shared" si="2"/>
        <v>INDEC-CM - 37930-11</v>
      </c>
      <c r="B155" s="552">
        <v>37930</v>
      </c>
      <c r="C155" s="552" t="s">
        <v>45</v>
      </c>
      <c r="D155" s="552">
        <v>11</v>
      </c>
      <c r="E155" s="551" t="s">
        <v>195</v>
      </c>
    </row>
    <row r="156" spans="1:7" x14ac:dyDescent="0.2">
      <c r="A156" s="552" t="str">
        <f t="shared" si="2"/>
        <v>INDEC-CM - 42999-61</v>
      </c>
      <c r="B156" s="552">
        <v>42999</v>
      </c>
      <c r="C156" s="552" t="s">
        <v>45</v>
      </c>
      <c r="D156" s="552">
        <v>61</v>
      </c>
      <c r="E156" s="556" t="s">
        <v>196</v>
      </c>
      <c r="F156" s="556"/>
      <c r="G156" s="556"/>
    </row>
    <row r="157" spans="1:7" x14ac:dyDescent="0.2">
      <c r="A157" s="552" t="str">
        <f t="shared" si="2"/>
        <v>INDEC-CM - 42999-62</v>
      </c>
      <c r="B157" s="552">
        <v>42999</v>
      </c>
      <c r="C157" s="552" t="s">
        <v>45</v>
      </c>
      <c r="D157" s="552">
        <v>62</v>
      </c>
      <c r="E157" s="556" t="s">
        <v>197</v>
      </c>
      <c r="F157" s="556"/>
      <c r="G157" s="556"/>
    </row>
    <row r="158" spans="1:7" x14ac:dyDescent="0.2">
      <c r="A158" s="552" t="str">
        <f t="shared" si="2"/>
        <v>INDEC-CM - 37610-11</v>
      </c>
      <c r="B158" s="552">
        <v>37610</v>
      </c>
      <c r="C158" s="552" t="s">
        <v>45</v>
      </c>
      <c r="D158" s="552">
        <v>11</v>
      </c>
      <c r="E158" s="556" t="s">
        <v>198</v>
      </c>
      <c r="F158" s="556"/>
      <c r="G158" s="556"/>
    </row>
    <row r="159" spans="1:7" x14ac:dyDescent="0.2">
      <c r="A159" s="552" t="str">
        <f t="shared" si="2"/>
        <v>INDEC-CM - 37610-12</v>
      </c>
      <c r="B159" s="552">
        <v>37610</v>
      </c>
      <c r="C159" s="552" t="s">
        <v>45</v>
      </c>
      <c r="D159" s="552">
        <v>12</v>
      </c>
      <c r="E159" s="556" t="s">
        <v>199</v>
      </c>
      <c r="F159" s="556"/>
      <c r="G159" s="556"/>
    </row>
    <row r="160" spans="1:7" x14ac:dyDescent="0.2">
      <c r="A160" s="552" t="str">
        <f t="shared" si="2"/>
        <v>INDEC-CM - 42943-11</v>
      </c>
      <c r="B160" s="552">
        <v>42943</v>
      </c>
      <c r="C160" s="552" t="s">
        <v>45</v>
      </c>
      <c r="D160" s="552">
        <v>11</v>
      </c>
      <c r="E160" s="556" t="s">
        <v>200</v>
      </c>
      <c r="F160" s="556"/>
      <c r="G160" s="556"/>
    </row>
    <row r="161" spans="1:7" x14ac:dyDescent="0.2">
      <c r="A161" s="552" t="str">
        <f t="shared" si="2"/>
        <v>INDEC-CM - 37540-11</v>
      </c>
      <c r="B161" s="552">
        <v>37540</v>
      </c>
      <c r="C161" s="552" t="s">
        <v>45</v>
      </c>
      <c r="D161" s="552">
        <v>11</v>
      </c>
      <c r="E161" s="551" t="s">
        <v>201</v>
      </c>
    </row>
    <row r="162" spans="1:7" x14ac:dyDescent="0.2">
      <c r="A162" s="552" t="str">
        <f t="shared" si="2"/>
        <v>INDEC-CM - 38130-16</v>
      </c>
      <c r="B162" s="552">
        <v>38130</v>
      </c>
      <c r="C162" s="552" t="s">
        <v>45</v>
      </c>
      <c r="D162" s="552">
        <v>16</v>
      </c>
      <c r="E162" s="556" t="s">
        <v>202</v>
      </c>
      <c r="F162" s="556"/>
      <c r="G162" s="556"/>
    </row>
    <row r="163" spans="1:7" x14ac:dyDescent="0.2">
      <c r="A163" s="552" t="str">
        <f t="shared" si="2"/>
        <v>INDEC-CM - 38130-15</v>
      </c>
      <c r="B163" s="552">
        <v>38130</v>
      </c>
      <c r="C163" s="552" t="s">
        <v>45</v>
      </c>
      <c r="D163" s="552">
        <v>15</v>
      </c>
      <c r="E163" s="556" t="s">
        <v>203</v>
      </c>
      <c r="F163" s="556"/>
      <c r="G163" s="556"/>
    </row>
    <row r="164" spans="1:7" x14ac:dyDescent="0.2">
      <c r="A164" s="552" t="str">
        <f t="shared" si="2"/>
        <v>INDEC-CM - 38130-14</v>
      </c>
      <c r="B164" s="552">
        <v>38130</v>
      </c>
      <c r="C164" s="552" t="s">
        <v>45</v>
      </c>
      <c r="D164" s="552">
        <v>14</v>
      </c>
      <c r="E164" s="556" t="s">
        <v>204</v>
      </c>
      <c r="F164" s="556"/>
      <c r="G164" s="556"/>
    </row>
    <row r="165" spans="1:7" x14ac:dyDescent="0.2">
      <c r="A165" s="552" t="str">
        <f t="shared" si="2"/>
        <v>INDEC-CM - 35490-11</v>
      </c>
      <c r="B165" s="552">
        <v>35490</v>
      </c>
      <c r="C165" s="552" t="s">
        <v>45</v>
      </c>
      <c r="D165" s="552">
        <v>11</v>
      </c>
      <c r="E165" s="551" t="s">
        <v>205</v>
      </c>
    </row>
    <row r="166" spans="1:7" x14ac:dyDescent="0.2">
      <c r="A166" s="552" t="str">
        <f t="shared" si="2"/>
        <v>INDEC-CM - 41251-11</v>
      </c>
      <c r="B166" s="552">
        <v>41251</v>
      </c>
      <c r="C166" s="552" t="s">
        <v>45</v>
      </c>
      <c r="D166" s="552">
        <v>11</v>
      </c>
      <c r="E166" s="556" t="s">
        <v>206</v>
      </c>
      <c r="F166" s="556"/>
      <c r="G166" s="556"/>
    </row>
    <row r="167" spans="1:7" x14ac:dyDescent="0.2">
      <c r="A167" s="557" t="str">
        <f t="shared" si="2"/>
        <v>INDEC-CM - 41278-21</v>
      </c>
      <c r="B167" s="557">
        <v>41278</v>
      </c>
      <c r="C167" s="557" t="s">
        <v>45</v>
      </c>
      <c r="D167" s="557">
        <v>21</v>
      </c>
      <c r="E167" s="559" t="s">
        <v>207</v>
      </c>
      <c r="F167" s="551" t="s">
        <v>2040</v>
      </c>
    </row>
    <row r="168" spans="1:7" x14ac:dyDescent="0.2">
      <c r="A168" s="552" t="str">
        <f t="shared" si="2"/>
        <v>INDEC-CM - 42911-71</v>
      </c>
      <c r="B168" s="552">
        <v>42911</v>
      </c>
      <c r="C168" s="552" t="s">
        <v>45</v>
      </c>
      <c r="D168" s="552">
        <v>71</v>
      </c>
      <c r="E168" s="556" t="s">
        <v>208</v>
      </c>
      <c r="F168" s="556"/>
      <c r="G168" s="556"/>
    </row>
    <row r="169" spans="1:7" x14ac:dyDescent="0.2">
      <c r="A169" s="552" t="str">
        <f t="shared" si="2"/>
        <v>INDEC-CM - 37210-42</v>
      </c>
      <c r="B169" s="552">
        <v>37210</v>
      </c>
      <c r="C169" s="552" t="s">
        <v>45</v>
      </c>
      <c r="D169" s="552">
        <v>42</v>
      </c>
      <c r="E169" s="556" t="s">
        <v>209</v>
      </c>
      <c r="F169" s="556"/>
      <c r="G169" s="556"/>
    </row>
    <row r="170" spans="1:7" x14ac:dyDescent="0.2">
      <c r="A170" s="552" t="str">
        <f t="shared" si="2"/>
        <v>INDEC-CM - 37210-41</v>
      </c>
      <c r="B170" s="552">
        <v>37210</v>
      </c>
      <c r="C170" s="552" t="s">
        <v>45</v>
      </c>
      <c r="D170" s="552">
        <v>41</v>
      </c>
      <c r="E170" s="556" t="s">
        <v>210</v>
      </c>
      <c r="F170" s="556"/>
      <c r="G170" s="556"/>
    </row>
    <row r="171" spans="1:7" x14ac:dyDescent="0.2">
      <c r="A171" s="552" t="str">
        <f t="shared" si="2"/>
        <v>INDEC-CM - 36930-11</v>
      </c>
      <c r="B171" s="552">
        <v>36930</v>
      </c>
      <c r="C171" s="552" t="s">
        <v>45</v>
      </c>
      <c r="D171" s="552">
        <v>11</v>
      </c>
      <c r="E171" s="551" t="s">
        <v>211</v>
      </c>
    </row>
    <row r="172" spans="1:7" x14ac:dyDescent="0.2">
      <c r="A172" s="552" t="str">
        <f t="shared" si="2"/>
        <v>INDEC-CM - 36950-21</v>
      </c>
      <c r="B172" s="552">
        <v>36950</v>
      </c>
      <c r="C172" s="552" t="s">
        <v>45</v>
      </c>
      <c r="D172" s="552">
        <v>21</v>
      </c>
      <c r="E172" s="551" t="s">
        <v>212</v>
      </c>
    </row>
    <row r="173" spans="1:7" x14ac:dyDescent="0.2">
      <c r="A173" s="552" t="str">
        <f t="shared" si="2"/>
        <v>INDEC-CM - 35110-31</v>
      </c>
      <c r="B173" s="552">
        <v>35110</v>
      </c>
      <c r="C173" s="552" t="s">
        <v>45</v>
      </c>
      <c r="D173" s="552">
        <v>31</v>
      </c>
      <c r="E173" s="551" t="s">
        <v>213</v>
      </c>
    </row>
    <row r="174" spans="1:7" x14ac:dyDescent="0.2">
      <c r="A174" s="552" t="str">
        <f t="shared" si="2"/>
        <v>INDEC-CM - 35110-32</v>
      </c>
      <c r="B174" s="552">
        <v>35110</v>
      </c>
      <c r="C174" s="552" t="s">
        <v>45</v>
      </c>
      <c r="D174" s="552">
        <v>32</v>
      </c>
      <c r="E174" s="551" t="s">
        <v>214</v>
      </c>
    </row>
    <row r="175" spans="1:7" x14ac:dyDescent="0.2">
      <c r="A175" s="552" t="str">
        <f t="shared" si="2"/>
        <v>INDEC-CM - 37940-11</v>
      </c>
      <c r="B175" s="552">
        <v>37940</v>
      </c>
      <c r="C175" s="552" t="s">
        <v>45</v>
      </c>
      <c r="D175" s="552">
        <v>11</v>
      </c>
      <c r="E175" s="551" t="s">
        <v>215</v>
      </c>
    </row>
    <row r="176" spans="1:7" x14ac:dyDescent="0.2">
      <c r="A176" s="552" t="str">
        <f t="shared" si="2"/>
        <v>INDEC-CM - 35110-71</v>
      </c>
      <c r="B176" s="552">
        <v>35110</v>
      </c>
      <c r="C176" s="552" t="s">
        <v>45</v>
      </c>
      <c r="D176" s="552">
        <v>71</v>
      </c>
      <c r="E176" s="551" t="s">
        <v>216</v>
      </c>
    </row>
    <row r="177" spans="1:7" x14ac:dyDescent="0.2">
      <c r="A177" s="552" t="str">
        <f t="shared" si="2"/>
        <v>INDEC-CM - 31210-31</v>
      </c>
      <c r="B177" s="552">
        <v>31210</v>
      </c>
      <c r="C177" s="552" t="s">
        <v>45</v>
      </c>
      <c r="D177" s="552">
        <v>31</v>
      </c>
      <c r="E177" s="551" t="s">
        <v>217</v>
      </c>
    </row>
    <row r="178" spans="1:7" x14ac:dyDescent="0.2">
      <c r="A178" s="552" t="str">
        <f t="shared" si="2"/>
        <v>INDEC-CM - 31210-32</v>
      </c>
      <c r="B178" s="552">
        <v>31210</v>
      </c>
      <c r="C178" s="552" t="s">
        <v>45</v>
      </c>
      <c r="D178" s="552">
        <v>32</v>
      </c>
      <c r="E178" s="551" t="s">
        <v>218</v>
      </c>
    </row>
    <row r="179" spans="1:7" x14ac:dyDescent="0.2">
      <c r="A179" s="552" t="str">
        <f t="shared" si="2"/>
        <v>INDEC-CM - 41541-11</v>
      </c>
      <c r="B179" s="552">
        <v>41541</v>
      </c>
      <c r="C179" s="552" t="s">
        <v>45</v>
      </c>
      <c r="D179" s="552">
        <v>11</v>
      </c>
      <c r="E179" s="551" t="s">
        <v>219</v>
      </c>
    </row>
    <row r="180" spans="1:7" x14ac:dyDescent="0.2">
      <c r="A180" s="552" t="str">
        <f t="shared" si="2"/>
        <v>INDEC-CM - 34720-11</v>
      </c>
      <c r="B180" s="552">
        <v>34720</v>
      </c>
      <c r="C180" s="552" t="s">
        <v>45</v>
      </c>
      <c r="D180" s="552">
        <v>11</v>
      </c>
      <c r="E180" s="556" t="s">
        <v>220</v>
      </c>
      <c r="F180" s="556"/>
      <c r="G180" s="556"/>
    </row>
    <row r="181" spans="1:7" x14ac:dyDescent="0.2">
      <c r="A181" s="552" t="str">
        <f t="shared" si="2"/>
        <v>INDEC-CM - 47220-11</v>
      </c>
      <c r="B181" s="552">
        <v>47220</v>
      </c>
      <c r="C181" s="552" t="s">
        <v>45</v>
      </c>
      <c r="D181" s="552">
        <v>11</v>
      </c>
      <c r="E181" s="556" t="s">
        <v>221</v>
      </c>
      <c r="F181" s="556"/>
      <c r="G181" s="556"/>
    </row>
    <row r="182" spans="1:7" x14ac:dyDescent="0.2">
      <c r="A182" s="552" t="str">
        <f t="shared" si="2"/>
        <v>INDEC-CM - 31600-81</v>
      </c>
      <c r="B182" s="552">
        <v>31600</v>
      </c>
      <c r="C182" s="552" t="s">
        <v>45</v>
      </c>
      <c r="D182" s="552">
        <v>81</v>
      </c>
      <c r="E182" s="551" t="s">
        <v>222</v>
      </c>
    </row>
    <row r="183" spans="1:7" x14ac:dyDescent="0.2">
      <c r="A183" s="552" t="str">
        <f t="shared" si="2"/>
        <v>INDEC-CM - 42120-31</v>
      </c>
      <c r="B183" s="552">
        <v>42120</v>
      </c>
      <c r="C183" s="552" t="s">
        <v>45</v>
      </c>
      <c r="D183" s="552">
        <v>31</v>
      </c>
      <c r="E183" s="551" t="s">
        <v>223</v>
      </c>
    </row>
    <row r="184" spans="1:7" x14ac:dyDescent="0.2">
      <c r="A184" s="552" t="str">
        <f t="shared" si="2"/>
        <v>INDEC-CM - 35490-21</v>
      </c>
      <c r="B184" s="552">
        <v>35490</v>
      </c>
      <c r="C184" s="552" t="s">
        <v>45</v>
      </c>
      <c r="D184" s="552">
        <v>21</v>
      </c>
      <c r="E184" s="556" t="s">
        <v>224</v>
      </c>
      <c r="F184" s="556"/>
      <c r="G184" s="556"/>
    </row>
    <row r="185" spans="1:7" x14ac:dyDescent="0.2">
      <c r="A185" s="552" t="str">
        <f t="shared" si="2"/>
        <v>INDEC-CM - 31600-41</v>
      </c>
      <c r="B185" s="552">
        <v>31600</v>
      </c>
      <c r="C185" s="552" t="s">
        <v>45</v>
      </c>
      <c r="D185" s="552">
        <v>41</v>
      </c>
      <c r="E185" s="556" t="s">
        <v>225</v>
      </c>
      <c r="F185" s="556"/>
      <c r="G185" s="556"/>
    </row>
    <row r="186" spans="1:7" x14ac:dyDescent="0.2">
      <c r="A186" s="552" t="str">
        <f t="shared" si="2"/>
        <v>INDEC-CM - 42120-21</v>
      </c>
      <c r="B186" s="552">
        <v>42120</v>
      </c>
      <c r="C186" s="552" t="s">
        <v>45</v>
      </c>
      <c r="D186" s="552">
        <v>21</v>
      </c>
      <c r="E186" s="556" t="s">
        <v>226</v>
      </c>
      <c r="F186" s="556"/>
      <c r="G186" s="556"/>
    </row>
    <row r="187" spans="1:7" x14ac:dyDescent="0.2">
      <c r="A187" s="552" t="str">
        <f t="shared" si="2"/>
        <v>INDEC-CM - 42120-22</v>
      </c>
      <c r="B187" s="552">
        <v>42120</v>
      </c>
      <c r="C187" s="552" t="s">
        <v>45</v>
      </c>
      <c r="D187" s="552">
        <v>22</v>
      </c>
      <c r="E187" s="556" t="s">
        <v>227</v>
      </c>
      <c r="F187" s="556"/>
      <c r="G187" s="556"/>
    </row>
    <row r="188" spans="1:7" x14ac:dyDescent="0.2">
      <c r="A188" s="552" t="str">
        <f t="shared" si="2"/>
        <v>INDEC-CM - 31600-33</v>
      </c>
      <c r="B188" s="552">
        <v>31600</v>
      </c>
      <c r="C188" s="552" t="s">
        <v>45</v>
      </c>
      <c r="D188" s="552">
        <v>33</v>
      </c>
      <c r="E188" s="551" t="s">
        <v>228</v>
      </c>
    </row>
    <row r="189" spans="1:7" x14ac:dyDescent="0.2">
      <c r="A189" s="552" t="str">
        <f t="shared" si="2"/>
        <v>INDEC-CM - 31600-32</v>
      </c>
      <c r="B189" s="552">
        <v>31600</v>
      </c>
      <c r="C189" s="552" t="s">
        <v>45</v>
      </c>
      <c r="D189" s="552">
        <v>32</v>
      </c>
      <c r="E189" s="551" t="s">
        <v>229</v>
      </c>
    </row>
    <row r="190" spans="1:7" x14ac:dyDescent="0.2">
      <c r="A190" s="552" t="str">
        <f t="shared" si="2"/>
        <v>INDEC-CM - 31600-31</v>
      </c>
      <c r="B190" s="552">
        <v>31600</v>
      </c>
      <c r="C190" s="552" t="s">
        <v>45</v>
      </c>
      <c r="D190" s="552">
        <v>31</v>
      </c>
      <c r="E190" s="551" t="s">
        <v>230</v>
      </c>
    </row>
    <row r="191" spans="1:7" x14ac:dyDescent="0.2">
      <c r="A191" s="552" t="str">
        <f t="shared" si="2"/>
        <v>INDEC-CM - 42120-11</v>
      </c>
      <c r="B191" s="552">
        <v>42120</v>
      </c>
      <c r="C191" s="552" t="s">
        <v>45</v>
      </c>
      <c r="D191" s="552">
        <v>11</v>
      </c>
      <c r="E191" s="551" t="s">
        <v>231</v>
      </c>
    </row>
    <row r="192" spans="1:7" x14ac:dyDescent="0.2">
      <c r="A192" s="552" t="str">
        <f t="shared" si="2"/>
        <v>INDEC-CM - 31600-23</v>
      </c>
      <c r="B192" s="552">
        <v>31600</v>
      </c>
      <c r="C192" s="552" t="s">
        <v>45</v>
      </c>
      <c r="D192" s="552">
        <v>23</v>
      </c>
      <c r="E192" s="551" t="s">
        <v>232</v>
      </c>
    </row>
    <row r="193" spans="1:7" x14ac:dyDescent="0.2">
      <c r="A193" s="552" t="str">
        <f t="shared" si="2"/>
        <v>INDEC-CM - 31600-22</v>
      </c>
      <c r="B193" s="552">
        <v>31600</v>
      </c>
      <c r="C193" s="552" t="s">
        <v>45</v>
      </c>
      <c r="D193" s="552">
        <v>22</v>
      </c>
      <c r="E193" s="551" t="s">
        <v>233</v>
      </c>
    </row>
    <row r="194" spans="1:7" x14ac:dyDescent="0.2">
      <c r="A194" s="552" t="str">
        <f t="shared" si="2"/>
        <v>INDEC-CM - 31600-21</v>
      </c>
      <c r="B194" s="552">
        <v>31600</v>
      </c>
      <c r="C194" s="552" t="s">
        <v>45</v>
      </c>
      <c r="D194" s="552">
        <v>21</v>
      </c>
      <c r="E194" s="551" t="s">
        <v>234</v>
      </c>
    </row>
    <row r="195" spans="1:7" x14ac:dyDescent="0.2">
      <c r="A195" s="552" t="str">
        <f t="shared" si="2"/>
        <v>INDEC-CM - 41278-33</v>
      </c>
      <c r="B195" s="552">
        <v>41278</v>
      </c>
      <c r="C195" s="552" t="s">
        <v>45</v>
      </c>
      <c r="D195" s="552">
        <v>33</v>
      </c>
      <c r="E195" s="556" t="s">
        <v>235</v>
      </c>
      <c r="F195" s="556"/>
      <c r="G195" s="556"/>
    </row>
    <row r="196" spans="1:7" x14ac:dyDescent="0.2">
      <c r="A196" s="552" t="str">
        <f t="shared" si="2"/>
        <v>INDEC-CM - 36320-33</v>
      </c>
      <c r="B196" s="552">
        <v>36320</v>
      </c>
      <c r="C196" s="552" t="s">
        <v>45</v>
      </c>
      <c r="D196" s="552">
        <v>33</v>
      </c>
      <c r="E196" s="551" t="s">
        <v>236</v>
      </c>
    </row>
    <row r="197" spans="1:7" x14ac:dyDescent="0.2">
      <c r="A197" s="552" t="str">
        <f t="shared" si="2"/>
        <v>INDEC-CM - 48270-11</v>
      </c>
      <c r="B197" s="552">
        <v>48270</v>
      </c>
      <c r="C197" s="552" t="s">
        <v>45</v>
      </c>
      <c r="D197" s="552">
        <v>11</v>
      </c>
      <c r="E197" s="556" t="s">
        <v>237</v>
      </c>
      <c r="F197" s="556"/>
      <c r="G197" s="556"/>
    </row>
    <row r="198" spans="1:7" x14ac:dyDescent="0.2">
      <c r="A198" s="552" t="str">
        <f t="shared" ref="A198:A220" si="3">CONCATENATE("INDEC-CM - ",B198,C198,D198)</f>
        <v>INDEC-CM - 42190-11</v>
      </c>
      <c r="B198" s="552">
        <v>42190</v>
      </c>
      <c r="C198" s="552" t="s">
        <v>45</v>
      </c>
      <c r="D198" s="552">
        <v>11</v>
      </c>
      <c r="E198" s="551" t="s">
        <v>238</v>
      </c>
    </row>
    <row r="199" spans="1:7" x14ac:dyDescent="0.2">
      <c r="A199" s="552" t="str">
        <f t="shared" si="3"/>
        <v>INDEC-CM - 43923-31</v>
      </c>
      <c r="B199" s="552">
        <v>43923</v>
      </c>
      <c r="C199" s="552" t="s">
        <v>45</v>
      </c>
      <c r="D199" s="552">
        <v>31</v>
      </c>
      <c r="E199" s="556" t="s">
        <v>239</v>
      </c>
      <c r="F199" s="556"/>
      <c r="G199" s="556"/>
    </row>
    <row r="200" spans="1:7" x14ac:dyDescent="0.2">
      <c r="A200" s="552" t="str">
        <f t="shared" si="3"/>
        <v>INDEC-CM - 31210-11</v>
      </c>
      <c r="B200" s="552">
        <v>31210</v>
      </c>
      <c r="C200" s="552" t="s">
        <v>45</v>
      </c>
      <c r="D200" s="552">
        <v>11</v>
      </c>
      <c r="E200" s="556" t="s">
        <v>240</v>
      </c>
      <c r="F200" s="556"/>
      <c r="G200" s="556"/>
    </row>
    <row r="201" spans="1:7" x14ac:dyDescent="0.2">
      <c r="A201" s="552" t="str">
        <f t="shared" si="3"/>
        <v>INDEC-CM - 37129-21</v>
      </c>
      <c r="B201" s="552">
        <v>37129</v>
      </c>
      <c r="C201" s="552" t="s">
        <v>45</v>
      </c>
      <c r="D201" s="552">
        <v>21</v>
      </c>
      <c r="E201" s="551" t="s">
        <v>241</v>
      </c>
    </row>
    <row r="202" spans="1:7" x14ac:dyDescent="0.2">
      <c r="A202" s="552" t="str">
        <f t="shared" si="3"/>
        <v>INDEC-CM - 37560-21</v>
      </c>
      <c r="B202" s="552">
        <v>37560</v>
      </c>
      <c r="C202" s="552" t="s">
        <v>45</v>
      </c>
      <c r="D202" s="552">
        <v>21</v>
      </c>
      <c r="E202" s="556" t="s">
        <v>242</v>
      </c>
      <c r="F202" s="556"/>
      <c r="G202" s="556"/>
    </row>
    <row r="203" spans="1:7" x14ac:dyDescent="0.2">
      <c r="A203" s="552" t="str">
        <f t="shared" si="3"/>
        <v>INDEC-CM - 42999-71</v>
      </c>
      <c r="B203" s="552">
        <v>42999</v>
      </c>
      <c r="C203" s="552" t="s">
        <v>45</v>
      </c>
      <c r="D203" s="552">
        <v>71</v>
      </c>
      <c r="E203" s="551" t="s">
        <v>243</v>
      </c>
    </row>
    <row r="204" spans="1:7" x14ac:dyDescent="0.2">
      <c r="A204" s="552" t="str">
        <f t="shared" si="3"/>
        <v>INDEC-CM - 41516-22</v>
      </c>
      <c r="B204" s="552">
        <v>41516</v>
      </c>
      <c r="C204" s="552" t="s">
        <v>45</v>
      </c>
      <c r="D204" s="552">
        <v>22</v>
      </c>
      <c r="E204" s="551" t="s">
        <v>244</v>
      </c>
    </row>
    <row r="205" spans="1:7" x14ac:dyDescent="0.2">
      <c r="A205" s="552" t="str">
        <f t="shared" si="3"/>
        <v>INDEC-CM - 37350-51</v>
      </c>
      <c r="B205" s="552">
        <v>37350</v>
      </c>
      <c r="C205" s="552" t="s">
        <v>45</v>
      </c>
      <c r="D205" s="552">
        <v>51</v>
      </c>
      <c r="E205" s="551" t="s">
        <v>245</v>
      </c>
    </row>
    <row r="206" spans="1:7" x14ac:dyDescent="0.2">
      <c r="A206" s="552" t="str">
        <f t="shared" si="3"/>
        <v>INDEC-CM - 44826-21</v>
      </c>
      <c r="B206" s="552">
        <v>44826</v>
      </c>
      <c r="C206" s="552" t="s">
        <v>45</v>
      </c>
      <c r="D206" s="552">
        <v>21</v>
      </c>
      <c r="E206" s="551" t="s">
        <v>246</v>
      </c>
    </row>
    <row r="207" spans="1:7" x14ac:dyDescent="0.2">
      <c r="A207" s="552" t="str">
        <f t="shared" si="3"/>
        <v>INDEC-CM - 31210-22</v>
      </c>
      <c r="B207" s="552">
        <v>31210</v>
      </c>
      <c r="C207" s="552" t="s">
        <v>45</v>
      </c>
      <c r="D207" s="552">
        <v>22</v>
      </c>
      <c r="E207" s="551" t="s">
        <v>247</v>
      </c>
    </row>
    <row r="208" spans="1:7" x14ac:dyDescent="0.2">
      <c r="A208" s="552" t="str">
        <f t="shared" si="3"/>
        <v>INDEC-CM - 31100-11</v>
      </c>
      <c r="B208" s="552">
        <v>31100</v>
      </c>
      <c r="C208" s="552" t="s">
        <v>45</v>
      </c>
      <c r="D208" s="552">
        <v>11</v>
      </c>
      <c r="E208" s="551" t="s">
        <v>248</v>
      </c>
    </row>
    <row r="209" spans="1:7" x14ac:dyDescent="0.2">
      <c r="A209" s="552" t="str">
        <f t="shared" si="3"/>
        <v>INDEC-CM - 46212-53</v>
      </c>
      <c r="B209" s="552">
        <v>46212</v>
      </c>
      <c r="C209" s="552" t="s">
        <v>45</v>
      </c>
      <c r="D209" s="552">
        <v>53</v>
      </c>
      <c r="E209" s="551" t="s">
        <v>249</v>
      </c>
    </row>
    <row r="210" spans="1:7" x14ac:dyDescent="0.2">
      <c r="A210" s="552" t="str">
        <f t="shared" si="3"/>
        <v>INDEC-CM - 46212-52</v>
      </c>
      <c r="B210" s="552">
        <v>46212</v>
      </c>
      <c r="C210" s="552" t="s">
        <v>45</v>
      </c>
      <c r="D210" s="552">
        <v>52</v>
      </c>
      <c r="E210" s="556" t="s">
        <v>250</v>
      </c>
      <c r="F210" s="556"/>
      <c r="G210" s="556"/>
    </row>
    <row r="211" spans="1:7" x14ac:dyDescent="0.2">
      <c r="A211" s="552" t="str">
        <f t="shared" si="3"/>
        <v>INDEC-CM - 15400-21</v>
      </c>
      <c r="B211" s="552">
        <v>15400</v>
      </c>
      <c r="C211" s="552" t="s">
        <v>45</v>
      </c>
      <c r="D211" s="552">
        <v>21</v>
      </c>
      <c r="E211" s="551" t="s">
        <v>251</v>
      </c>
    </row>
    <row r="212" spans="1:7" x14ac:dyDescent="0.2">
      <c r="A212" s="552" t="str">
        <f t="shared" si="3"/>
        <v>INDEC-CM - 43240-11</v>
      </c>
      <c r="B212" s="552">
        <v>43240</v>
      </c>
      <c r="C212" s="552" t="s">
        <v>45</v>
      </c>
      <c r="D212" s="552">
        <v>11</v>
      </c>
      <c r="E212" s="551" t="s">
        <v>252</v>
      </c>
    </row>
    <row r="213" spans="1:7" x14ac:dyDescent="0.2">
      <c r="A213" s="552" t="str">
        <f t="shared" si="3"/>
        <v>INDEC-CM - 31600-42</v>
      </c>
      <c r="B213" s="552">
        <v>31600</v>
      </c>
      <c r="C213" s="552" t="s">
        <v>45</v>
      </c>
      <c r="D213" s="552">
        <v>42</v>
      </c>
      <c r="E213" s="556" t="s">
        <v>253</v>
      </c>
      <c r="F213" s="556"/>
      <c r="G213" s="556"/>
    </row>
    <row r="214" spans="1:7" x14ac:dyDescent="0.2">
      <c r="A214" s="557" t="str">
        <f t="shared" si="3"/>
        <v>INDEC-CM - 42120-42</v>
      </c>
      <c r="B214" s="557">
        <v>42120</v>
      </c>
      <c r="C214" s="557" t="s">
        <v>45</v>
      </c>
      <c r="D214" s="557">
        <v>42</v>
      </c>
      <c r="E214" s="559" t="s">
        <v>254</v>
      </c>
      <c r="F214" s="551" t="s">
        <v>2040</v>
      </c>
    </row>
    <row r="215" spans="1:7" x14ac:dyDescent="0.2">
      <c r="A215" s="557" t="str">
        <f t="shared" si="3"/>
        <v>INDEC-CM - 42120-41</v>
      </c>
      <c r="B215" s="557">
        <v>42120</v>
      </c>
      <c r="C215" s="557" t="s">
        <v>45</v>
      </c>
      <c r="D215" s="557">
        <v>41</v>
      </c>
      <c r="E215" s="559" t="s">
        <v>255</v>
      </c>
      <c r="F215" s="551" t="s">
        <v>2040</v>
      </c>
    </row>
    <row r="216" spans="1:7" x14ac:dyDescent="0.2">
      <c r="A216" s="557" t="str">
        <f t="shared" si="3"/>
        <v>INDEC-CM - 42120-51</v>
      </c>
      <c r="B216" s="557">
        <v>42120</v>
      </c>
      <c r="C216" s="557" t="s">
        <v>45</v>
      </c>
      <c r="D216" s="557">
        <v>51</v>
      </c>
      <c r="E216" s="558" t="s">
        <v>256</v>
      </c>
      <c r="F216" s="551" t="s">
        <v>2040</v>
      </c>
    </row>
    <row r="217" spans="1:7" x14ac:dyDescent="0.2">
      <c r="A217" s="552" t="str">
        <f t="shared" si="3"/>
        <v>INDEC-CM - 37550-11</v>
      </c>
      <c r="B217" s="552">
        <v>37550</v>
      </c>
      <c r="C217" s="552" t="s">
        <v>45</v>
      </c>
      <c r="D217" s="552">
        <v>11</v>
      </c>
      <c r="E217" s="551" t="s">
        <v>257</v>
      </c>
    </row>
    <row r="218" spans="1:7" x14ac:dyDescent="0.2">
      <c r="A218" s="552" t="str">
        <f t="shared" si="3"/>
        <v>INDEC-CM - 37410-11</v>
      </c>
      <c r="B218" s="552">
        <v>37410</v>
      </c>
      <c r="C218" s="552" t="s">
        <v>45</v>
      </c>
      <c r="D218" s="552">
        <v>11</v>
      </c>
      <c r="E218" s="551" t="s">
        <v>258</v>
      </c>
    </row>
    <row r="219" spans="1:7" x14ac:dyDescent="0.2">
      <c r="A219" s="552" t="str">
        <f t="shared" si="3"/>
        <v>INDEC-CM - 31210-33</v>
      </c>
      <c r="B219" s="552">
        <v>31210</v>
      </c>
      <c r="C219" s="552" t="s">
        <v>45</v>
      </c>
      <c r="D219" s="552">
        <v>33</v>
      </c>
      <c r="E219" s="551" t="s">
        <v>259</v>
      </c>
    </row>
    <row r="220" spans="1:7" x14ac:dyDescent="0.2">
      <c r="A220" s="552" t="str">
        <f t="shared" si="3"/>
        <v>INDEC-CM - 37540-21</v>
      </c>
      <c r="B220" s="552">
        <v>37540</v>
      </c>
      <c r="C220" s="552" t="s">
        <v>45</v>
      </c>
      <c r="D220" s="552">
        <v>21</v>
      </c>
      <c r="E220" s="551" t="s">
        <v>260</v>
      </c>
    </row>
    <row r="223" spans="1:7" x14ac:dyDescent="0.2">
      <c r="A223" s="17"/>
      <c r="B223" s="550" t="s">
        <v>535</v>
      </c>
      <c r="C223" s="16"/>
      <c r="D223" s="16"/>
      <c r="E223" s="17"/>
    </row>
    <row r="224" spans="1:7" x14ac:dyDescent="0.2">
      <c r="A224" s="17"/>
      <c r="B224" s="560"/>
      <c r="C224" s="16"/>
      <c r="D224" s="16"/>
      <c r="E224" s="17"/>
    </row>
    <row r="225" spans="1:5" x14ac:dyDescent="0.2">
      <c r="A225" s="795" t="s">
        <v>343</v>
      </c>
      <c r="B225" s="795" t="s">
        <v>42</v>
      </c>
      <c r="C225" s="795"/>
      <c r="D225" s="795"/>
      <c r="E225" s="795" t="s">
        <v>43</v>
      </c>
    </row>
    <row r="226" spans="1:5" x14ac:dyDescent="0.2">
      <c r="A226" s="795"/>
      <c r="B226" s="795" t="s">
        <v>44</v>
      </c>
      <c r="C226" s="795"/>
      <c r="D226" s="795"/>
      <c r="E226" s="795"/>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45</v>
      </c>
      <c r="D228" s="16">
        <v>0</v>
      </c>
      <c r="E228" s="17" t="s">
        <v>536</v>
      </c>
    </row>
    <row r="229" spans="1:5" x14ac:dyDescent="0.2">
      <c r="A229" s="552" t="str">
        <f>CONCATENATE("INDEC-CM - ",B229,C229,D229)</f>
        <v>INDEC-CM - 31600-6</v>
      </c>
      <c r="B229" s="16">
        <v>31600</v>
      </c>
      <c r="C229" s="16" t="s">
        <v>45</v>
      </c>
      <c r="D229" s="16">
        <v>6</v>
      </c>
      <c r="E229" s="17" t="s">
        <v>537</v>
      </c>
    </row>
    <row r="230" spans="1:5" x14ac:dyDescent="0.2">
      <c r="A230" s="552" t="str">
        <f>CONCATENATE("INDEC-CM - ",B230,C230,D230)</f>
        <v>INDEC-CM - 41278-0</v>
      </c>
      <c r="B230" s="16">
        <v>41278</v>
      </c>
      <c r="C230" s="16" t="s">
        <v>45</v>
      </c>
      <c r="D230" s="16">
        <v>0</v>
      </c>
      <c r="E230" s="17" t="s">
        <v>538</v>
      </c>
    </row>
    <row r="231" spans="1:5" x14ac:dyDescent="0.2">
      <c r="A231" s="552" t="str">
        <f>CONCATENATE("INDEC-CM - ",B231,C231,D231)</f>
        <v>INDEC-CM - 31600-7</v>
      </c>
      <c r="B231" s="16">
        <v>31600</v>
      </c>
      <c r="C231" s="16" t="s">
        <v>45</v>
      </c>
      <c r="D231" s="16">
        <v>7</v>
      </c>
      <c r="E231" s="17" t="s">
        <v>539</v>
      </c>
    </row>
    <row r="232" spans="1:5" x14ac:dyDescent="0.2">
      <c r="A232" s="552" t="str">
        <f>CONCATENATE("INDEC-CM - ",B232,C232,D232)</f>
        <v>INDEC-CM - 42120-41/42/51</v>
      </c>
      <c r="B232" s="16">
        <v>42120</v>
      </c>
      <c r="C232" s="16" t="s">
        <v>45</v>
      </c>
      <c r="D232" s="16" t="s">
        <v>540</v>
      </c>
      <c r="E232" s="17" t="s">
        <v>541</v>
      </c>
    </row>
    <row r="235" spans="1:5" x14ac:dyDescent="0.2">
      <c r="A235" s="550"/>
      <c r="B235" s="550" t="s">
        <v>543</v>
      </c>
      <c r="C235" s="550"/>
      <c r="D235" s="550"/>
      <c r="E235" s="550"/>
    </row>
    <row r="236" spans="1:5" x14ac:dyDescent="0.2">
      <c r="A236" s="556"/>
      <c r="D236" s="562"/>
    </row>
    <row r="237" spans="1:5" x14ac:dyDescent="0.2">
      <c r="A237" s="795" t="s">
        <v>343</v>
      </c>
      <c r="B237" s="795" t="s">
        <v>42</v>
      </c>
      <c r="C237" s="795"/>
      <c r="D237" s="795"/>
      <c r="E237" s="795" t="s">
        <v>331</v>
      </c>
    </row>
    <row r="238" spans="1:5" x14ac:dyDescent="0.2">
      <c r="A238" s="795"/>
      <c r="B238" s="795"/>
      <c r="C238" s="795"/>
      <c r="D238" s="795"/>
      <c r="E238" s="795"/>
    </row>
    <row r="239" spans="1:5" x14ac:dyDescent="0.2">
      <c r="E239" s="563" t="s">
        <v>267</v>
      </c>
    </row>
    <row r="240" spans="1:5" x14ac:dyDescent="0.2">
      <c r="E240" s="563"/>
    </row>
    <row r="241" spans="1:5" x14ac:dyDescent="0.2">
      <c r="A241" s="556"/>
      <c r="D241" s="562"/>
      <c r="E241" s="549" t="s">
        <v>332</v>
      </c>
    </row>
    <row r="242" spans="1:5" x14ac:dyDescent="0.2">
      <c r="A242" s="556"/>
      <c r="D242" s="562"/>
      <c r="E242" s="549"/>
    </row>
    <row r="243" spans="1:5" x14ac:dyDescent="0.2">
      <c r="B243" s="562"/>
      <c r="E243" s="549" t="s">
        <v>333</v>
      </c>
    </row>
    <row r="244" spans="1:5" x14ac:dyDescent="0.2">
      <c r="A244" s="552" t="str">
        <f>CONCATENATE("INDEC-MO - ",B244,C244,D244)</f>
        <v>INDEC-MO - 51560-11</v>
      </c>
      <c r="B244" s="552">
        <v>51560</v>
      </c>
      <c r="C244" s="552" t="s">
        <v>45</v>
      </c>
      <c r="D244" s="552">
        <v>11</v>
      </c>
      <c r="E244" s="555" t="s">
        <v>1869</v>
      </c>
    </row>
    <row r="245" spans="1:5" x14ac:dyDescent="0.2">
      <c r="A245" s="552" t="str">
        <f>CONCATENATE("INDEC-MO - ",B245,C245,D245)</f>
        <v>INDEC-MO - 51560-12</v>
      </c>
      <c r="B245" s="552">
        <v>51560</v>
      </c>
      <c r="C245" s="552" t="s">
        <v>45</v>
      </c>
      <c r="D245" s="552">
        <v>12</v>
      </c>
      <c r="E245" s="555" t="s">
        <v>903</v>
      </c>
    </row>
    <row r="246" spans="1:5" x14ac:dyDescent="0.2">
      <c r="A246" s="552" t="str">
        <f>CONCATENATE("INDEC-MO - ",B246,C246,D246)</f>
        <v>INDEC-MO - 51560-13</v>
      </c>
      <c r="B246" s="552">
        <v>51560</v>
      </c>
      <c r="C246" s="552" t="s">
        <v>45</v>
      </c>
      <c r="D246" s="552">
        <v>13</v>
      </c>
      <c r="E246" s="555" t="s">
        <v>1013</v>
      </c>
    </row>
    <row r="247" spans="1:5" x14ac:dyDescent="0.2">
      <c r="A247" s="552" t="str">
        <f>CONCATENATE("INDEC-MO - ",B247,C247,D247)</f>
        <v>INDEC-MO - 51560-14</v>
      </c>
      <c r="B247" s="552">
        <v>51560</v>
      </c>
      <c r="C247" s="552" t="s">
        <v>45</v>
      </c>
      <c r="D247" s="552">
        <v>14</v>
      </c>
      <c r="E247" s="555" t="s">
        <v>717</v>
      </c>
    </row>
    <row r="248" spans="1:5" x14ac:dyDescent="0.2">
      <c r="A248" s="552" t="str">
        <f>CONCATENATE(B248,C248,D248)</f>
        <v/>
      </c>
    </row>
    <row r="249" spans="1:5" x14ac:dyDescent="0.2">
      <c r="A249" s="552" t="str">
        <f>CONCATENATE("INDEC-MO - ",B249,C249,D249)</f>
        <v>INDEC-MO - 51560-32</v>
      </c>
      <c r="B249" s="552">
        <v>51560</v>
      </c>
      <c r="C249" s="552" t="s">
        <v>45</v>
      </c>
      <c r="D249" s="552">
        <v>32</v>
      </c>
      <c r="E249" s="549" t="s">
        <v>334</v>
      </c>
    </row>
    <row r="250" spans="1:5" x14ac:dyDescent="0.2">
      <c r="A250" s="552" t="str">
        <f>CONCATENATE(B250,C250,D250)</f>
        <v/>
      </c>
    </row>
    <row r="251" spans="1:5" x14ac:dyDescent="0.2">
      <c r="A251" s="552" t="str">
        <f>CONCATENATE("INDEC-MO - ",B251,C251,D251)</f>
        <v>INDEC-MO - 81291-1</v>
      </c>
      <c r="B251" s="552">
        <v>81291</v>
      </c>
      <c r="C251" s="552" t="s">
        <v>45</v>
      </c>
      <c r="D251" s="552">
        <v>1</v>
      </c>
      <c r="E251" s="563" t="s">
        <v>335</v>
      </c>
    </row>
    <row r="252" spans="1:5" x14ac:dyDescent="0.2">
      <c r="A252" s="552" t="str">
        <f>CONCATENATE(B252,C252,D252)</f>
        <v/>
      </c>
    </row>
    <row r="253" spans="1:5" x14ac:dyDescent="0.2">
      <c r="A253" s="552" t="str">
        <f>CONCATENATE(B253,C253,D253)</f>
        <v/>
      </c>
      <c r="E253" s="563" t="s">
        <v>336</v>
      </c>
    </row>
    <row r="254" spans="1:5" x14ac:dyDescent="0.2">
      <c r="A254" s="552" t="str">
        <f t="shared" ref="A254:A259" si="4">CONCATENATE("INDEC-MO - ",B254,C254,D254)</f>
        <v>INDEC-MO - 51641-1</v>
      </c>
      <c r="B254" s="552">
        <v>51641</v>
      </c>
      <c r="C254" s="552" t="s">
        <v>45</v>
      </c>
      <c r="D254" s="552">
        <v>1</v>
      </c>
      <c r="E254" s="555" t="s">
        <v>337</v>
      </c>
    </row>
    <row r="255" spans="1:5" x14ac:dyDescent="0.2">
      <c r="A255" s="552" t="str">
        <f t="shared" si="4"/>
        <v>INDEC-MO - 51620-1</v>
      </c>
      <c r="B255" s="552">
        <v>51620</v>
      </c>
      <c r="C255" s="552" t="s">
        <v>45</v>
      </c>
      <c r="D255" s="552">
        <v>1</v>
      </c>
      <c r="E255" s="555" t="s">
        <v>338</v>
      </c>
    </row>
    <row r="256" spans="1:5" x14ac:dyDescent="0.2">
      <c r="A256" s="552" t="str">
        <f t="shared" si="4"/>
        <v>INDEC-MO - 51690-1</v>
      </c>
      <c r="B256" s="552">
        <v>51690</v>
      </c>
      <c r="C256" s="552" t="s">
        <v>45</v>
      </c>
      <c r="D256" s="552">
        <v>1</v>
      </c>
      <c r="E256" s="555" t="s">
        <v>339</v>
      </c>
    </row>
    <row r="257" spans="1:7" x14ac:dyDescent="0.2">
      <c r="A257" s="552" t="str">
        <f t="shared" si="4"/>
        <v>INDEC-MO - 51630-1</v>
      </c>
      <c r="B257" s="552">
        <v>51630</v>
      </c>
      <c r="C257" s="552" t="s">
        <v>45</v>
      </c>
      <c r="D257" s="552">
        <v>1</v>
      </c>
      <c r="E257" s="555" t="s">
        <v>340</v>
      </c>
    </row>
    <row r="258" spans="1:7" x14ac:dyDescent="0.2">
      <c r="A258" s="557" t="str">
        <f t="shared" si="4"/>
        <v>INDEC-MO - 51720-1</v>
      </c>
      <c r="B258" s="557">
        <v>51720</v>
      </c>
      <c r="C258" s="557" t="s">
        <v>45</v>
      </c>
      <c r="D258" s="557">
        <v>1</v>
      </c>
      <c r="E258" s="564" t="s">
        <v>341</v>
      </c>
      <c r="F258" s="551" t="s">
        <v>2040</v>
      </c>
    </row>
    <row r="259" spans="1:7" x14ac:dyDescent="0.2">
      <c r="A259" s="552" t="str">
        <f t="shared" si="4"/>
        <v>INDEC-MO - 51730-1</v>
      </c>
      <c r="B259" s="552">
        <v>51730</v>
      </c>
      <c r="C259" s="552" t="s">
        <v>45</v>
      </c>
      <c r="D259" s="552">
        <v>1</v>
      </c>
      <c r="E259" s="555" t="s">
        <v>342</v>
      </c>
    </row>
    <row r="262" spans="1:7" x14ac:dyDescent="0.2">
      <c r="A262" s="560"/>
      <c r="B262" s="550" t="s">
        <v>544</v>
      </c>
      <c r="C262" s="16"/>
      <c r="D262" s="16"/>
      <c r="E262" s="16"/>
      <c r="F262" s="16"/>
      <c r="G262" s="560"/>
    </row>
    <row r="263" spans="1:7" x14ac:dyDescent="0.2">
      <c r="A263" s="565"/>
      <c r="B263" s="16"/>
      <c r="C263" s="16"/>
      <c r="D263" s="566"/>
      <c r="E263" s="17"/>
      <c r="F263" s="17"/>
      <c r="G263" s="567"/>
    </row>
    <row r="264" spans="1:7" x14ac:dyDescent="0.2">
      <c r="A264" s="795" t="s">
        <v>343</v>
      </c>
      <c r="B264" s="795" t="s">
        <v>42</v>
      </c>
      <c r="C264" s="795"/>
      <c r="D264" s="795"/>
      <c r="E264" s="795" t="s">
        <v>331</v>
      </c>
      <c r="F264" s="568"/>
      <c r="G264" s="568"/>
    </row>
    <row r="265" spans="1:7" x14ac:dyDescent="0.2">
      <c r="A265" s="795"/>
      <c r="B265" s="795"/>
      <c r="C265" s="795"/>
      <c r="D265" s="795"/>
      <c r="E265" s="795"/>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45</v>
      </c>
      <c r="D267" s="552">
        <v>1</v>
      </c>
      <c r="E267" s="15" t="s">
        <v>545</v>
      </c>
      <c r="F267" s="17"/>
      <c r="G267" s="17"/>
    </row>
    <row r="268" spans="1:7" x14ac:dyDescent="0.2">
      <c r="A268" s="17"/>
      <c r="B268" s="16"/>
      <c r="C268" s="16"/>
      <c r="D268" s="16"/>
      <c r="E268" s="17"/>
      <c r="F268" s="17"/>
      <c r="G268" s="17"/>
    </row>
    <row r="271" spans="1:7" x14ac:dyDescent="0.2">
      <c r="A271" s="549"/>
      <c r="B271" s="550" t="s">
        <v>344</v>
      </c>
      <c r="C271" s="550"/>
      <c r="D271" s="550"/>
    </row>
    <row r="273" spans="1:6" x14ac:dyDescent="0.2">
      <c r="A273" s="795" t="s">
        <v>343</v>
      </c>
      <c r="B273" s="795" t="s">
        <v>42</v>
      </c>
      <c r="C273" s="795"/>
      <c r="D273" s="795"/>
      <c r="E273" s="795" t="s">
        <v>345</v>
      </c>
    </row>
    <row r="274" spans="1:6" x14ac:dyDescent="0.2">
      <c r="A274" s="795"/>
      <c r="B274" s="795" t="s">
        <v>44</v>
      </c>
      <c r="C274" s="795"/>
      <c r="D274" s="795"/>
      <c r="E274" s="795"/>
    </row>
    <row r="275" spans="1:6" x14ac:dyDescent="0.2">
      <c r="E275" s="554"/>
    </row>
    <row r="276" spans="1:6" x14ac:dyDescent="0.2">
      <c r="A276" s="552" t="str">
        <f t="shared" ref="A276:A283" si="5">CONCATENATE("INDEC-EC - ",B276,C276,D276)</f>
        <v>INDEC-EC - 43520-11</v>
      </c>
      <c r="B276" s="552">
        <v>43520</v>
      </c>
      <c r="C276" s="552" t="s">
        <v>45</v>
      </c>
      <c r="D276" s="552">
        <v>11</v>
      </c>
      <c r="E276" s="555" t="s">
        <v>346</v>
      </c>
    </row>
    <row r="277" spans="1:6" x14ac:dyDescent="0.2">
      <c r="A277" s="552" t="str">
        <f t="shared" si="5"/>
        <v>INDEC-EC - 44440-2</v>
      </c>
      <c r="B277" s="552">
        <v>44440</v>
      </c>
      <c r="C277" s="552" t="s">
        <v>45</v>
      </c>
      <c r="D277" s="552">
        <v>2</v>
      </c>
      <c r="E277" s="555" t="s">
        <v>347</v>
      </c>
    </row>
    <row r="278" spans="1:6" x14ac:dyDescent="0.2">
      <c r="A278" s="552" t="str">
        <f t="shared" si="5"/>
        <v>INDEC-EC - 44221-11</v>
      </c>
      <c r="B278" s="552">
        <v>44221</v>
      </c>
      <c r="C278" s="552" t="s">
        <v>45</v>
      </c>
      <c r="D278" s="552">
        <v>11</v>
      </c>
      <c r="E278" s="555" t="s">
        <v>348</v>
      </c>
    </row>
    <row r="279" spans="1:6" x14ac:dyDescent="0.2">
      <c r="A279" s="552" t="str">
        <f t="shared" si="5"/>
        <v>INDEC-EC - 44221-12</v>
      </c>
      <c r="B279" s="552">
        <v>44221</v>
      </c>
      <c r="C279" s="552" t="s">
        <v>45</v>
      </c>
      <c r="D279" s="552">
        <v>12</v>
      </c>
      <c r="E279" s="555" t="s">
        <v>349</v>
      </c>
    </row>
    <row r="280" spans="1:6" x14ac:dyDescent="0.2">
      <c r="A280" s="552" t="str">
        <f t="shared" si="5"/>
        <v>INDEC-EC - 43520-21</v>
      </c>
      <c r="B280" s="552">
        <v>43520</v>
      </c>
      <c r="C280" s="552" t="s">
        <v>45</v>
      </c>
      <c r="D280" s="552">
        <v>21</v>
      </c>
      <c r="E280" s="555" t="s">
        <v>350</v>
      </c>
    </row>
    <row r="281" spans="1:6" x14ac:dyDescent="0.2">
      <c r="A281" s="552" t="str">
        <f t="shared" si="5"/>
        <v>INDEC-EC - 44231-21</v>
      </c>
      <c r="B281" s="552">
        <v>44231</v>
      </c>
      <c r="C281" s="552" t="s">
        <v>45</v>
      </c>
      <c r="D281" s="552">
        <v>21</v>
      </c>
      <c r="E281" s="555" t="s">
        <v>351</v>
      </c>
    </row>
    <row r="282" spans="1:6" x14ac:dyDescent="0.2">
      <c r="A282" s="557" t="str">
        <f t="shared" si="5"/>
        <v>INDEC-EC - 44440-11</v>
      </c>
      <c r="B282" s="557">
        <v>44440</v>
      </c>
      <c r="C282" s="557" t="s">
        <v>45</v>
      </c>
      <c r="D282" s="557">
        <v>11</v>
      </c>
      <c r="E282" s="564" t="s">
        <v>352</v>
      </c>
      <c r="F282" s="551" t="s">
        <v>2040</v>
      </c>
    </row>
    <row r="283" spans="1:6" x14ac:dyDescent="0.2">
      <c r="A283" s="552" t="str">
        <f t="shared" si="5"/>
        <v>INDEC-EC - 44231-11</v>
      </c>
      <c r="B283" s="552">
        <v>44231</v>
      </c>
      <c r="C283" s="552" t="s">
        <v>45</v>
      </c>
      <c r="D283" s="552">
        <v>11</v>
      </c>
      <c r="E283" s="555" t="s">
        <v>353</v>
      </c>
    </row>
    <row r="286" spans="1:6" x14ac:dyDescent="0.2">
      <c r="A286" s="549"/>
      <c r="B286" s="550" t="s">
        <v>354</v>
      </c>
      <c r="C286" s="550"/>
      <c r="D286" s="550"/>
    </row>
    <row r="288" spans="1:6" x14ac:dyDescent="0.2">
      <c r="A288" s="795" t="s">
        <v>343</v>
      </c>
      <c r="B288" s="795" t="s">
        <v>42</v>
      </c>
      <c r="C288" s="795"/>
      <c r="D288" s="795"/>
      <c r="E288" s="795" t="s">
        <v>355</v>
      </c>
    </row>
    <row r="289" spans="1:7" x14ac:dyDescent="0.2">
      <c r="A289" s="795"/>
      <c r="B289" s="795" t="s">
        <v>44</v>
      </c>
      <c r="C289" s="795"/>
      <c r="D289" s="795"/>
      <c r="E289" s="795"/>
    </row>
    <row r="290" spans="1:7" x14ac:dyDescent="0.2">
      <c r="E290" s="554"/>
    </row>
    <row r="291" spans="1:7" x14ac:dyDescent="0.2">
      <c r="A291" s="552" t="str">
        <f t="shared" ref="A291:A298" si="6">CONCATENATE("INDEC-SA - ",B291,C291,D291)</f>
        <v>INDEC-SA - 83107-1</v>
      </c>
      <c r="B291" s="552">
        <v>83107</v>
      </c>
      <c r="C291" s="552" t="s">
        <v>45</v>
      </c>
      <c r="D291" s="552">
        <v>1</v>
      </c>
      <c r="E291" s="551" t="s">
        <v>356</v>
      </c>
    </row>
    <row r="292" spans="1:7" x14ac:dyDescent="0.2">
      <c r="A292" s="552" t="str">
        <f t="shared" si="6"/>
        <v>INDEC-SA - 71240-21</v>
      </c>
      <c r="B292" s="552">
        <v>71240</v>
      </c>
      <c r="C292" s="552" t="s">
        <v>45</v>
      </c>
      <c r="D292" s="552">
        <v>21</v>
      </c>
      <c r="E292" s="551" t="s">
        <v>357</v>
      </c>
    </row>
    <row r="293" spans="1:7" x14ac:dyDescent="0.2">
      <c r="A293" s="552" t="str">
        <f t="shared" si="6"/>
        <v>INDEC-SA - 71240-31</v>
      </c>
      <c r="B293" s="552">
        <v>71240</v>
      </c>
      <c r="C293" s="552" t="s">
        <v>45</v>
      </c>
      <c r="D293" s="552">
        <v>31</v>
      </c>
      <c r="E293" s="551" t="s">
        <v>358</v>
      </c>
    </row>
    <row r="294" spans="1:7" x14ac:dyDescent="0.2">
      <c r="A294" s="552" t="str">
        <f t="shared" si="6"/>
        <v>INDEC-SA - 71240-11</v>
      </c>
      <c r="B294" s="552">
        <v>71240</v>
      </c>
      <c r="C294" s="552" t="s">
        <v>45</v>
      </c>
      <c r="D294" s="552">
        <v>11</v>
      </c>
      <c r="E294" s="551" t="s">
        <v>359</v>
      </c>
    </row>
    <row r="295" spans="1:7" x14ac:dyDescent="0.2">
      <c r="A295" s="552" t="str">
        <f t="shared" si="6"/>
        <v>INDEC-SA - 74110-11</v>
      </c>
      <c r="B295" s="552">
        <v>74110</v>
      </c>
      <c r="C295" s="552" t="s">
        <v>45</v>
      </c>
      <c r="D295" s="552">
        <v>11</v>
      </c>
      <c r="E295" s="551" t="s">
        <v>360</v>
      </c>
    </row>
    <row r="296" spans="1:7" x14ac:dyDescent="0.2">
      <c r="A296" s="552" t="str">
        <f t="shared" si="6"/>
        <v>INDEC-SA - 71233-11</v>
      </c>
      <c r="B296" s="552">
        <v>71233</v>
      </c>
      <c r="C296" s="552" t="s">
        <v>45</v>
      </c>
      <c r="D296" s="552">
        <v>11</v>
      </c>
      <c r="E296" s="551" t="s">
        <v>361</v>
      </c>
    </row>
    <row r="297" spans="1:7" x14ac:dyDescent="0.2">
      <c r="A297" s="552" t="str">
        <f t="shared" si="6"/>
        <v>INDEC-SA - 51800-11</v>
      </c>
      <c r="B297" s="552">
        <v>51800</v>
      </c>
      <c r="C297" s="552" t="s">
        <v>45</v>
      </c>
      <c r="D297" s="552">
        <v>11</v>
      </c>
      <c r="E297" s="569" t="s">
        <v>362</v>
      </c>
    </row>
    <row r="298" spans="1:7" x14ac:dyDescent="0.2">
      <c r="A298" s="552" t="str">
        <f t="shared" si="6"/>
        <v>INDEC-SA - 51800-21</v>
      </c>
      <c r="B298" s="552">
        <v>51800</v>
      </c>
      <c r="C298" s="552" t="s">
        <v>45</v>
      </c>
      <c r="D298" s="552">
        <v>21</v>
      </c>
      <c r="E298" s="551" t="s">
        <v>363</v>
      </c>
    </row>
    <row r="301" spans="1:7" x14ac:dyDescent="0.2">
      <c r="A301" s="570"/>
      <c r="B301" s="550" t="s">
        <v>503</v>
      </c>
      <c r="C301" s="571"/>
      <c r="D301" s="571"/>
      <c r="E301" s="570"/>
      <c r="F301" s="570"/>
      <c r="G301" s="570"/>
    </row>
    <row r="303" spans="1:7" x14ac:dyDescent="0.2">
      <c r="A303" s="795" t="s">
        <v>343</v>
      </c>
      <c r="B303" s="795" t="s">
        <v>42</v>
      </c>
      <c r="C303" s="795"/>
      <c r="D303" s="795"/>
      <c r="E303" s="795" t="s">
        <v>43</v>
      </c>
    </row>
    <row r="304" spans="1:7" x14ac:dyDescent="0.2">
      <c r="A304" s="795"/>
      <c r="B304" s="795" t="s">
        <v>44</v>
      </c>
      <c r="C304" s="795"/>
      <c r="D304" s="795"/>
      <c r="E304" s="795"/>
    </row>
    <row r="305" spans="1:6" x14ac:dyDescent="0.2">
      <c r="A305" s="554"/>
      <c r="B305" s="554"/>
      <c r="C305" s="554"/>
      <c r="D305" s="554"/>
      <c r="E305" s="554"/>
    </row>
    <row r="306" spans="1:6" x14ac:dyDescent="0.2">
      <c r="A306" s="552" t="str">
        <f t="shared" ref="A306:A369" si="7">CONCATENATE("INDEC-PB - ",B306,C306,D306)</f>
        <v>INDEC-PB - 42120-1</v>
      </c>
      <c r="B306" s="552">
        <v>42120</v>
      </c>
      <c r="C306" s="552" t="s">
        <v>45</v>
      </c>
      <c r="D306" s="552">
        <v>1</v>
      </c>
      <c r="E306" s="572" t="s">
        <v>364</v>
      </c>
    </row>
    <row r="307" spans="1:6" x14ac:dyDescent="0.2">
      <c r="A307" s="552" t="str">
        <f t="shared" si="7"/>
        <v>INDEC-PB - 42120-2</v>
      </c>
      <c r="B307" s="552">
        <v>42120</v>
      </c>
      <c r="C307" s="552" t="s">
        <v>45</v>
      </c>
      <c r="D307" s="552">
        <v>2</v>
      </c>
      <c r="E307" s="572" t="s">
        <v>365</v>
      </c>
    </row>
    <row r="308" spans="1:6" x14ac:dyDescent="0.2">
      <c r="A308" s="552" t="str">
        <f t="shared" si="7"/>
        <v>INDEC-PB - 37910-1</v>
      </c>
      <c r="B308" s="552">
        <v>37910</v>
      </c>
      <c r="C308" s="552" t="s">
        <v>45</v>
      </c>
      <c r="D308" s="552">
        <v>1</v>
      </c>
      <c r="E308" s="572" t="s">
        <v>366</v>
      </c>
    </row>
    <row r="309" spans="1:6" x14ac:dyDescent="0.2">
      <c r="A309" s="552" t="str">
        <f t="shared" si="7"/>
        <v>INDEC-PB - 42921-4</v>
      </c>
      <c r="B309" s="552">
        <v>42921</v>
      </c>
      <c r="C309" s="552" t="s">
        <v>45</v>
      </c>
      <c r="D309" s="552">
        <v>4</v>
      </c>
      <c r="E309" s="572" t="s">
        <v>367</v>
      </c>
    </row>
    <row r="310" spans="1:6" x14ac:dyDescent="0.2">
      <c r="A310" s="552" t="str">
        <f t="shared" si="7"/>
        <v>INDEC-PB - 44251-1</v>
      </c>
      <c r="B310" s="552">
        <v>44251</v>
      </c>
      <c r="C310" s="552" t="s">
        <v>45</v>
      </c>
      <c r="D310" s="552">
        <v>1</v>
      </c>
      <c r="E310" s="572" t="s">
        <v>368</v>
      </c>
    </row>
    <row r="311" spans="1:6" x14ac:dyDescent="0.2">
      <c r="A311" s="552" t="str">
        <f t="shared" si="7"/>
        <v>INDEC-PB - 42922-1</v>
      </c>
      <c r="B311" s="552">
        <v>42922</v>
      </c>
      <c r="C311" s="552" t="s">
        <v>45</v>
      </c>
      <c r="D311" s="552">
        <v>1</v>
      </c>
      <c r="E311" s="572" t="s">
        <v>369</v>
      </c>
    </row>
    <row r="312" spans="1:6" x14ac:dyDescent="0.2">
      <c r="A312" s="552" t="str">
        <f t="shared" si="7"/>
        <v>INDEC-PB - 33380-1</v>
      </c>
      <c r="B312" s="552">
        <v>33380</v>
      </c>
      <c r="C312" s="552" t="s">
        <v>45</v>
      </c>
      <c r="D312" s="552">
        <v>1</v>
      </c>
      <c r="E312" s="572" t="s">
        <v>370</v>
      </c>
    </row>
    <row r="313" spans="1:6" x14ac:dyDescent="0.2">
      <c r="A313" s="552" t="str">
        <f t="shared" si="7"/>
        <v>INDEC-PB - 49229-1</v>
      </c>
      <c r="B313" s="552">
        <v>49229</v>
      </c>
      <c r="C313" s="552" t="s">
        <v>45</v>
      </c>
      <c r="D313" s="552">
        <v>1</v>
      </c>
      <c r="E313" s="572" t="s">
        <v>371</v>
      </c>
    </row>
    <row r="314" spans="1:6" x14ac:dyDescent="0.2">
      <c r="A314" s="552" t="str">
        <f t="shared" si="7"/>
        <v>INDEC-PB - 46420-1</v>
      </c>
      <c r="B314" s="552">
        <v>46420</v>
      </c>
      <c r="C314" s="552" t="s">
        <v>45</v>
      </c>
      <c r="D314" s="552">
        <v>1</v>
      </c>
      <c r="E314" s="572" t="s">
        <v>372</v>
      </c>
    </row>
    <row r="315" spans="1:6" x14ac:dyDescent="0.2">
      <c r="A315" s="552" t="str">
        <f t="shared" si="7"/>
        <v>INDEC-PB - 41263-1</v>
      </c>
      <c r="B315" s="552">
        <v>41263</v>
      </c>
      <c r="C315" s="552" t="s">
        <v>45</v>
      </c>
      <c r="D315" s="552">
        <v>1</v>
      </c>
      <c r="E315" s="572" t="s">
        <v>373</v>
      </c>
    </row>
    <row r="316" spans="1:6" x14ac:dyDescent="0.2">
      <c r="A316" s="557" t="str">
        <f t="shared" si="7"/>
        <v>INDEC-PB - 41241-1</v>
      </c>
      <c r="B316" s="557">
        <v>41241</v>
      </c>
      <c r="C316" s="557" t="s">
        <v>45</v>
      </c>
      <c r="D316" s="557">
        <v>1</v>
      </c>
      <c r="E316" s="573" t="s">
        <v>374</v>
      </c>
      <c r="F316" s="551" t="s">
        <v>2040</v>
      </c>
    </row>
    <row r="317" spans="1:6" x14ac:dyDescent="0.2">
      <c r="A317" s="552" t="str">
        <f t="shared" si="7"/>
        <v>INDEC-PB - 44216-1</v>
      </c>
      <c r="B317" s="552">
        <v>44216</v>
      </c>
      <c r="C317" s="552" t="s">
        <v>45</v>
      </c>
      <c r="D317" s="552">
        <v>1</v>
      </c>
      <c r="E317" s="572" t="s">
        <v>375</v>
      </c>
    </row>
    <row r="318" spans="1:6" x14ac:dyDescent="0.2">
      <c r="A318" s="552" t="str">
        <f t="shared" si="7"/>
        <v>INDEC-PB - 15400-1</v>
      </c>
      <c r="B318" s="552">
        <v>15400</v>
      </c>
      <c r="C318" s="552" t="s">
        <v>45</v>
      </c>
      <c r="D318" s="552">
        <v>1</v>
      </c>
      <c r="E318" s="572" t="s">
        <v>376</v>
      </c>
    </row>
    <row r="319" spans="1:6" x14ac:dyDescent="0.2">
      <c r="A319" s="552" t="str">
        <f t="shared" si="7"/>
        <v>INDEC-PB - 15310-1</v>
      </c>
      <c r="B319" s="552">
        <v>15310</v>
      </c>
      <c r="C319" s="552" t="s">
        <v>45</v>
      </c>
      <c r="D319" s="552">
        <v>1</v>
      </c>
      <c r="E319" s="572" t="s">
        <v>377</v>
      </c>
    </row>
    <row r="320" spans="1:6" x14ac:dyDescent="0.2">
      <c r="A320" s="557" t="str">
        <f t="shared" si="7"/>
        <v>INDEC-PB - 37210-1</v>
      </c>
      <c r="B320" s="557">
        <v>37210</v>
      </c>
      <c r="C320" s="557" t="s">
        <v>45</v>
      </c>
      <c r="D320" s="557">
        <v>1</v>
      </c>
      <c r="E320" s="573" t="s">
        <v>378</v>
      </c>
      <c r="F320" s="551" t="s">
        <v>2040</v>
      </c>
    </row>
    <row r="321" spans="1:6" x14ac:dyDescent="0.2">
      <c r="A321" s="557" t="str">
        <f t="shared" si="7"/>
        <v>INDEC-PB - 37540-2</v>
      </c>
      <c r="B321" s="557">
        <v>37540</v>
      </c>
      <c r="C321" s="557" t="s">
        <v>45</v>
      </c>
      <c r="D321" s="557">
        <v>2</v>
      </c>
      <c r="E321" s="573" t="s">
        <v>379</v>
      </c>
      <c r="F321" s="551" t="s">
        <v>2040</v>
      </c>
    </row>
    <row r="322" spans="1:6" x14ac:dyDescent="0.2">
      <c r="A322" s="552" t="str">
        <f t="shared" si="7"/>
        <v>INDEC-PB - 49113-1</v>
      </c>
      <c r="B322" s="552">
        <v>49113</v>
      </c>
      <c r="C322" s="552" t="s">
        <v>45</v>
      </c>
      <c r="D322" s="552">
        <v>1</v>
      </c>
      <c r="E322" s="572" t="s">
        <v>380</v>
      </c>
    </row>
    <row r="323" spans="1:6" x14ac:dyDescent="0.2">
      <c r="A323" s="552" t="str">
        <f t="shared" si="7"/>
        <v>INDEC-PB - 36270-1</v>
      </c>
      <c r="B323" s="552">
        <v>36270</v>
      </c>
      <c r="C323" s="552" t="s">
        <v>45</v>
      </c>
      <c r="D323" s="552">
        <v>1</v>
      </c>
      <c r="E323" s="572" t="s">
        <v>381</v>
      </c>
    </row>
    <row r="324" spans="1:6" x14ac:dyDescent="0.2">
      <c r="A324" s="552" t="str">
        <f t="shared" si="7"/>
        <v>INDEC-PB - 46539-1</v>
      </c>
      <c r="B324" s="552">
        <v>46539</v>
      </c>
      <c r="C324" s="552" t="s">
        <v>45</v>
      </c>
      <c r="D324" s="552">
        <v>1</v>
      </c>
      <c r="E324" s="572" t="s">
        <v>382</v>
      </c>
    </row>
    <row r="325" spans="1:6" x14ac:dyDescent="0.2">
      <c r="A325" s="552" t="str">
        <f t="shared" si="7"/>
        <v>INDEC-PB - 37370-1</v>
      </c>
      <c r="B325" s="552">
        <v>37370</v>
      </c>
      <c r="C325" s="552" t="s">
        <v>45</v>
      </c>
      <c r="D325" s="552">
        <v>1</v>
      </c>
      <c r="E325" s="572" t="s">
        <v>383</v>
      </c>
    </row>
    <row r="326" spans="1:6" x14ac:dyDescent="0.2">
      <c r="A326" s="552" t="str">
        <f t="shared" si="7"/>
        <v>INDEC-PB - 35110-4</v>
      </c>
      <c r="B326" s="552">
        <v>35110</v>
      </c>
      <c r="C326" s="552" t="s">
        <v>45</v>
      </c>
      <c r="D326" s="552">
        <v>4</v>
      </c>
      <c r="E326" s="572" t="s">
        <v>384</v>
      </c>
    </row>
    <row r="327" spans="1:6" x14ac:dyDescent="0.2">
      <c r="A327" s="552" t="str">
        <f t="shared" si="7"/>
        <v>INDEC-PB - 41261-1</v>
      </c>
      <c r="B327" s="552">
        <v>41261</v>
      </c>
      <c r="C327" s="552" t="s">
        <v>45</v>
      </c>
      <c r="D327" s="552">
        <v>1</v>
      </c>
      <c r="E327" s="572" t="s">
        <v>385</v>
      </c>
    </row>
    <row r="328" spans="1:6" x14ac:dyDescent="0.2">
      <c r="A328" s="552" t="str">
        <f t="shared" si="7"/>
        <v>INDEC-PB - 36490-6</v>
      </c>
      <c r="B328" s="552">
        <v>36490</v>
      </c>
      <c r="C328" s="552" t="s">
        <v>45</v>
      </c>
      <c r="D328" s="552">
        <v>6</v>
      </c>
      <c r="E328" s="572" t="s">
        <v>386</v>
      </c>
    </row>
    <row r="329" spans="1:6" x14ac:dyDescent="0.2">
      <c r="A329" s="552" t="str">
        <f t="shared" si="7"/>
        <v>INDEC-PB - 42944-1</v>
      </c>
      <c r="B329" s="552">
        <v>42944</v>
      </c>
      <c r="C329" s="552" t="s">
        <v>45</v>
      </c>
      <c r="D329" s="552">
        <v>1</v>
      </c>
      <c r="E329" s="572" t="s">
        <v>387</v>
      </c>
    </row>
    <row r="330" spans="1:6" x14ac:dyDescent="0.2">
      <c r="A330" s="552" t="str">
        <f t="shared" si="7"/>
        <v>INDEC-PB - 42320-1</v>
      </c>
      <c r="B330" s="552">
        <v>42320</v>
      </c>
      <c r="C330" s="552" t="s">
        <v>45</v>
      </c>
      <c r="D330" s="552">
        <v>1</v>
      </c>
      <c r="E330" s="572" t="s">
        <v>388</v>
      </c>
    </row>
    <row r="331" spans="1:6" x14ac:dyDescent="0.2">
      <c r="A331" s="552" t="str">
        <f t="shared" si="7"/>
        <v>INDEC-PB - 37420-1</v>
      </c>
      <c r="B331" s="552">
        <v>37420</v>
      </c>
      <c r="C331" s="552" t="s">
        <v>45</v>
      </c>
      <c r="D331" s="552">
        <v>1</v>
      </c>
      <c r="E331" s="572" t="s">
        <v>389</v>
      </c>
    </row>
    <row r="332" spans="1:6" x14ac:dyDescent="0.2">
      <c r="A332" s="557" t="str">
        <f t="shared" si="7"/>
        <v>INDEC-PB - 49115-2</v>
      </c>
      <c r="B332" s="557">
        <v>49115</v>
      </c>
      <c r="C332" s="557" t="s">
        <v>45</v>
      </c>
      <c r="D332" s="557">
        <v>2</v>
      </c>
      <c r="E332" s="573" t="s">
        <v>390</v>
      </c>
      <c r="F332" s="551" t="s">
        <v>2040</v>
      </c>
    </row>
    <row r="333" spans="1:6" x14ac:dyDescent="0.2">
      <c r="A333" s="557" t="str">
        <f t="shared" si="7"/>
        <v>INDEC-PB - 36320-3</v>
      </c>
      <c r="B333" s="557">
        <v>36320</v>
      </c>
      <c r="C333" s="557" t="s">
        <v>45</v>
      </c>
      <c r="D333" s="557">
        <v>3</v>
      </c>
      <c r="E333" s="573" t="s">
        <v>391</v>
      </c>
      <c r="F333" s="551" t="s">
        <v>2040</v>
      </c>
    </row>
    <row r="334" spans="1:6" x14ac:dyDescent="0.2">
      <c r="A334" s="557" t="str">
        <f t="shared" si="7"/>
        <v>INDEC-PB - 36320-2</v>
      </c>
      <c r="B334" s="557">
        <v>36320</v>
      </c>
      <c r="C334" s="557" t="s">
        <v>45</v>
      </c>
      <c r="D334" s="557">
        <v>2</v>
      </c>
      <c r="E334" s="573" t="s">
        <v>392</v>
      </c>
      <c r="F334" s="551" t="s">
        <v>2040</v>
      </c>
    </row>
    <row r="335" spans="1:6" x14ac:dyDescent="0.2">
      <c r="A335" s="552" t="str">
        <f t="shared" si="7"/>
        <v>INDEC-PB - 36320-1</v>
      </c>
      <c r="B335" s="552">
        <v>36320</v>
      </c>
      <c r="C335" s="552" t="s">
        <v>45</v>
      </c>
      <c r="D335" s="552">
        <v>1</v>
      </c>
      <c r="E335" s="572" t="s">
        <v>393</v>
      </c>
    </row>
    <row r="336" spans="1:6" x14ac:dyDescent="0.2">
      <c r="A336" s="552" t="str">
        <f t="shared" si="7"/>
        <v>INDEC-PB - 46220-1</v>
      </c>
      <c r="B336" s="552">
        <v>46220</v>
      </c>
      <c r="C336" s="552" t="s">
        <v>45</v>
      </c>
      <c r="D336" s="552">
        <v>1</v>
      </c>
      <c r="E336" s="572" t="s">
        <v>394</v>
      </c>
    </row>
    <row r="337" spans="1:6" x14ac:dyDescent="0.2">
      <c r="A337" s="557" t="str">
        <f t="shared" si="7"/>
        <v>INDEC-PB - 34800-1</v>
      </c>
      <c r="B337" s="557">
        <v>34800</v>
      </c>
      <c r="C337" s="557" t="s">
        <v>45</v>
      </c>
      <c r="D337" s="557">
        <v>1</v>
      </c>
      <c r="E337" s="573" t="s">
        <v>395</v>
      </c>
      <c r="F337" s="551" t="s">
        <v>2040</v>
      </c>
    </row>
    <row r="338" spans="1:6" x14ac:dyDescent="0.2">
      <c r="A338" s="552" t="str">
        <f t="shared" si="7"/>
        <v>INDEC-PB - 37440-1</v>
      </c>
      <c r="B338" s="552">
        <v>37440</v>
      </c>
      <c r="C338" s="552" t="s">
        <v>45</v>
      </c>
      <c r="D338" s="552">
        <v>1</v>
      </c>
      <c r="E338" s="572" t="s">
        <v>396</v>
      </c>
    </row>
    <row r="339" spans="1:6" x14ac:dyDescent="0.2">
      <c r="A339" s="552" t="str">
        <f t="shared" si="7"/>
        <v>INDEC-PB - 42992-1</v>
      </c>
      <c r="B339" s="552">
        <v>42992</v>
      </c>
      <c r="C339" s="552" t="s">
        <v>45</v>
      </c>
      <c r="D339" s="552">
        <v>1</v>
      </c>
      <c r="E339" s="572" t="s">
        <v>397</v>
      </c>
    </row>
    <row r="340" spans="1:6" x14ac:dyDescent="0.2">
      <c r="A340" s="552" t="str">
        <f t="shared" si="7"/>
        <v>INDEC-PB - 42999-2</v>
      </c>
      <c r="B340" s="552">
        <v>42999</v>
      </c>
      <c r="C340" s="552" t="s">
        <v>45</v>
      </c>
      <c r="D340" s="552">
        <v>2</v>
      </c>
      <c r="E340" s="572" t="s">
        <v>398</v>
      </c>
    </row>
    <row r="341" spans="1:6" x14ac:dyDescent="0.2">
      <c r="A341" s="552" t="str">
        <f t="shared" si="7"/>
        <v>INDEC-PB - 42944-2</v>
      </c>
      <c r="B341" s="552">
        <v>42944</v>
      </c>
      <c r="C341" s="552" t="s">
        <v>45</v>
      </c>
      <c r="D341" s="552">
        <v>2</v>
      </c>
      <c r="E341" s="572" t="s">
        <v>399</v>
      </c>
    </row>
    <row r="342" spans="1:6" x14ac:dyDescent="0.2">
      <c r="A342" s="552" t="str">
        <f t="shared" si="7"/>
        <v>INDEC-PB - 43230-1</v>
      </c>
      <c r="B342" s="552">
        <v>43230</v>
      </c>
      <c r="C342" s="552" t="s">
        <v>45</v>
      </c>
      <c r="D342" s="552">
        <v>1</v>
      </c>
      <c r="E342" s="572" t="s">
        <v>400</v>
      </c>
    </row>
    <row r="343" spans="1:6" x14ac:dyDescent="0.2">
      <c r="A343" s="552" t="str">
        <f t="shared" si="7"/>
        <v>INDEC-PB - 46340-1</v>
      </c>
      <c r="B343" s="552">
        <v>46340</v>
      </c>
      <c r="C343" s="552" t="s">
        <v>45</v>
      </c>
      <c r="D343" s="552">
        <v>1</v>
      </c>
      <c r="E343" s="572" t="s">
        <v>401</v>
      </c>
    </row>
    <row r="344" spans="1:6" x14ac:dyDescent="0.2">
      <c r="A344" s="557" t="str">
        <f t="shared" si="7"/>
        <v>INDEC-PB - 36270-2</v>
      </c>
      <c r="B344" s="557">
        <v>36270</v>
      </c>
      <c r="C344" s="557" t="s">
        <v>45</v>
      </c>
      <c r="D344" s="557">
        <v>2</v>
      </c>
      <c r="E344" s="573" t="s">
        <v>402</v>
      </c>
      <c r="F344" s="551" t="s">
        <v>2040</v>
      </c>
    </row>
    <row r="345" spans="1:6" x14ac:dyDescent="0.2">
      <c r="A345" s="552" t="str">
        <f t="shared" si="7"/>
        <v>INDEC-PB - 42190-2</v>
      </c>
      <c r="B345" s="552">
        <v>42190</v>
      </c>
      <c r="C345" s="552" t="s">
        <v>45</v>
      </c>
      <c r="D345" s="552">
        <v>2</v>
      </c>
      <c r="E345" s="572" t="s">
        <v>403</v>
      </c>
    </row>
    <row r="346" spans="1:6" x14ac:dyDescent="0.2">
      <c r="A346" s="552" t="str">
        <f t="shared" si="7"/>
        <v>INDEC-PB - 36990-2</v>
      </c>
      <c r="B346" s="552">
        <v>36990</v>
      </c>
      <c r="C346" s="552" t="s">
        <v>45</v>
      </c>
      <c r="D346" s="552">
        <v>2</v>
      </c>
      <c r="E346" s="572" t="s">
        <v>404</v>
      </c>
    </row>
    <row r="347" spans="1:6" x14ac:dyDescent="0.2">
      <c r="A347" s="557" t="str">
        <f t="shared" si="7"/>
        <v>INDEC-PB - 31600-1</v>
      </c>
      <c r="B347" s="557">
        <v>31600</v>
      </c>
      <c r="C347" s="557" t="s">
        <v>45</v>
      </c>
      <c r="D347" s="557">
        <v>1</v>
      </c>
      <c r="E347" s="573" t="s">
        <v>405</v>
      </c>
      <c r="F347" s="551" t="s">
        <v>2040</v>
      </c>
    </row>
    <row r="348" spans="1:6" x14ac:dyDescent="0.2">
      <c r="A348" s="552" t="str">
        <f t="shared" si="7"/>
        <v>INDEC-PB - 32600-1</v>
      </c>
      <c r="B348" s="552">
        <v>32600</v>
      </c>
      <c r="C348" s="552" t="s">
        <v>45</v>
      </c>
      <c r="D348" s="552">
        <v>1</v>
      </c>
      <c r="E348" s="572" t="s">
        <v>406</v>
      </c>
    </row>
    <row r="349" spans="1:6" x14ac:dyDescent="0.2">
      <c r="A349" s="552" t="str">
        <f t="shared" si="7"/>
        <v>INDEC-PB - 36111-3</v>
      </c>
      <c r="B349" s="552">
        <v>36111</v>
      </c>
      <c r="C349" s="552" t="s">
        <v>45</v>
      </c>
      <c r="D349" s="552">
        <v>3</v>
      </c>
      <c r="E349" s="572" t="s">
        <v>407</v>
      </c>
    </row>
    <row r="350" spans="1:6" x14ac:dyDescent="0.2">
      <c r="A350" s="552" t="str">
        <f t="shared" si="7"/>
        <v>INDEC-PB - 36111-2</v>
      </c>
      <c r="B350" s="552">
        <v>36111</v>
      </c>
      <c r="C350" s="552" t="s">
        <v>45</v>
      </c>
      <c r="D350" s="552">
        <v>2</v>
      </c>
      <c r="E350" s="572" t="s">
        <v>408</v>
      </c>
    </row>
    <row r="351" spans="1:6" x14ac:dyDescent="0.2">
      <c r="A351" s="557" t="str">
        <f t="shared" si="7"/>
        <v>INDEC-PB - 36111-1</v>
      </c>
      <c r="B351" s="557">
        <v>36111</v>
      </c>
      <c r="C351" s="557" t="s">
        <v>45</v>
      </c>
      <c r="D351" s="557">
        <v>1</v>
      </c>
      <c r="E351" s="573" t="s">
        <v>409</v>
      </c>
      <c r="F351" s="551" t="s">
        <v>2040</v>
      </c>
    </row>
    <row r="352" spans="1:6" x14ac:dyDescent="0.2">
      <c r="A352" s="552" t="str">
        <f t="shared" si="7"/>
        <v>INDEC-PB - 42921-1</v>
      </c>
      <c r="B352" s="552">
        <v>42921</v>
      </c>
      <c r="C352" s="552" t="s">
        <v>45</v>
      </c>
      <c r="D352" s="552">
        <v>1</v>
      </c>
      <c r="E352" s="572" t="s">
        <v>410</v>
      </c>
    </row>
    <row r="353" spans="1:6" x14ac:dyDescent="0.2">
      <c r="A353" s="557" t="str">
        <f t="shared" si="7"/>
        <v>INDEC-PB - 34800-2</v>
      </c>
      <c r="B353" s="557">
        <v>34800</v>
      </c>
      <c r="C353" s="557" t="s">
        <v>45</v>
      </c>
      <c r="D353" s="557">
        <v>2</v>
      </c>
      <c r="E353" s="573" t="s">
        <v>411</v>
      </c>
      <c r="F353" s="551" t="s">
        <v>2040</v>
      </c>
    </row>
    <row r="354" spans="1:6" x14ac:dyDescent="0.2">
      <c r="A354" s="552" t="str">
        <f t="shared" si="7"/>
        <v>INDEC-PB - 49129-1</v>
      </c>
      <c r="B354" s="552">
        <v>49129</v>
      </c>
      <c r="C354" s="552" t="s">
        <v>45</v>
      </c>
      <c r="D354" s="552">
        <v>1</v>
      </c>
      <c r="E354" s="572" t="s">
        <v>412</v>
      </c>
    </row>
    <row r="355" spans="1:6" x14ac:dyDescent="0.2">
      <c r="A355" s="552" t="str">
        <f t="shared" si="7"/>
        <v>INDEC-PB - 43220-1</v>
      </c>
      <c r="B355" s="552">
        <v>43220</v>
      </c>
      <c r="C355" s="552" t="s">
        <v>45</v>
      </c>
      <c r="D355" s="552">
        <v>1</v>
      </c>
      <c r="E355" s="572" t="s">
        <v>413</v>
      </c>
    </row>
    <row r="356" spans="1:6" x14ac:dyDescent="0.2">
      <c r="A356" s="552" t="str">
        <f t="shared" si="7"/>
        <v>INDEC-PB - 35110-1</v>
      </c>
      <c r="B356" s="552">
        <v>35110</v>
      </c>
      <c r="C356" s="552" t="s">
        <v>45</v>
      </c>
      <c r="D356" s="552">
        <v>1</v>
      </c>
      <c r="E356" s="572" t="s">
        <v>414</v>
      </c>
    </row>
    <row r="357" spans="1:6" x14ac:dyDescent="0.2">
      <c r="A357" s="552" t="str">
        <f t="shared" si="7"/>
        <v>INDEC-PB - 17100-1</v>
      </c>
      <c r="B357" s="552">
        <v>17100</v>
      </c>
      <c r="C357" s="552" t="s">
        <v>45</v>
      </c>
      <c r="D357" s="552">
        <v>1</v>
      </c>
      <c r="E357" s="572" t="s">
        <v>415</v>
      </c>
    </row>
    <row r="358" spans="1:6" x14ac:dyDescent="0.2">
      <c r="A358" s="552" t="str">
        <f t="shared" si="7"/>
        <v>INDEC-PB - 49129-3</v>
      </c>
      <c r="B358" s="552">
        <v>49129</v>
      </c>
      <c r="C358" s="552" t="s">
        <v>45</v>
      </c>
      <c r="D358" s="552">
        <v>3</v>
      </c>
      <c r="E358" s="572" t="s">
        <v>416</v>
      </c>
    </row>
    <row r="359" spans="1:6" x14ac:dyDescent="0.2">
      <c r="A359" s="552" t="str">
        <f t="shared" si="7"/>
        <v>INDEC-PB - 35110-2</v>
      </c>
      <c r="B359" s="552">
        <v>35110</v>
      </c>
      <c r="C359" s="552" t="s">
        <v>45</v>
      </c>
      <c r="D359" s="552">
        <v>2</v>
      </c>
      <c r="E359" s="572" t="s">
        <v>417</v>
      </c>
    </row>
    <row r="360" spans="1:6" x14ac:dyDescent="0.2">
      <c r="A360" s="552" t="str">
        <f t="shared" si="7"/>
        <v>INDEC-PB - 37129-1</v>
      </c>
      <c r="B360" s="552">
        <v>37129</v>
      </c>
      <c r="C360" s="552" t="s">
        <v>45</v>
      </c>
      <c r="D360" s="552">
        <v>1</v>
      </c>
      <c r="E360" s="572" t="s">
        <v>418</v>
      </c>
    </row>
    <row r="361" spans="1:6" x14ac:dyDescent="0.2">
      <c r="A361" s="552" t="str">
        <f t="shared" si="7"/>
        <v>INDEC-PB - 36490-4</v>
      </c>
      <c r="B361" s="552">
        <v>36490</v>
      </c>
      <c r="C361" s="552" t="s">
        <v>45</v>
      </c>
      <c r="D361" s="552">
        <v>4</v>
      </c>
      <c r="E361" s="572" t="s">
        <v>419</v>
      </c>
    </row>
    <row r="362" spans="1:6" x14ac:dyDescent="0.2">
      <c r="A362" s="552" t="str">
        <f t="shared" si="7"/>
        <v>INDEC-PB - 33370-1</v>
      </c>
      <c r="B362" s="552">
        <v>33370</v>
      </c>
      <c r="C362" s="552" t="s">
        <v>45</v>
      </c>
      <c r="D362" s="552">
        <v>1</v>
      </c>
      <c r="E362" s="572" t="s">
        <v>420</v>
      </c>
    </row>
    <row r="363" spans="1:6" x14ac:dyDescent="0.2">
      <c r="A363" s="552" t="str">
        <f t="shared" si="7"/>
        <v>INDEC-PB - 12020-1</v>
      </c>
      <c r="B363" s="552">
        <v>12020</v>
      </c>
      <c r="C363" s="552" t="s">
        <v>45</v>
      </c>
      <c r="D363" s="552">
        <v>1</v>
      </c>
      <c r="E363" s="572" t="s">
        <v>421</v>
      </c>
    </row>
    <row r="364" spans="1:6" x14ac:dyDescent="0.2">
      <c r="A364" s="552" t="str">
        <f t="shared" si="7"/>
        <v>INDEC-PB - 33360-1</v>
      </c>
      <c r="B364" s="552">
        <v>33360</v>
      </c>
      <c r="C364" s="552" t="s">
        <v>45</v>
      </c>
      <c r="D364" s="552">
        <v>1</v>
      </c>
      <c r="E364" s="572" t="s">
        <v>422</v>
      </c>
    </row>
    <row r="365" spans="1:6" x14ac:dyDescent="0.2">
      <c r="A365" s="552" t="str">
        <f t="shared" si="7"/>
        <v>INDEC-PB - 33410-1</v>
      </c>
      <c r="B365" s="552">
        <v>33410</v>
      </c>
      <c r="C365" s="552" t="s">
        <v>45</v>
      </c>
      <c r="D365" s="552">
        <v>1</v>
      </c>
      <c r="E365" s="572" t="s">
        <v>423</v>
      </c>
    </row>
    <row r="366" spans="1:6" x14ac:dyDescent="0.2">
      <c r="A366" s="552" t="str">
        <f t="shared" si="7"/>
        <v>INDEC-PB - 42911-1</v>
      </c>
      <c r="B366" s="552">
        <v>42911</v>
      </c>
      <c r="C366" s="552" t="s">
        <v>45</v>
      </c>
      <c r="D366" s="552">
        <v>1</v>
      </c>
      <c r="E366" s="572" t="s">
        <v>424</v>
      </c>
    </row>
    <row r="367" spans="1:6" x14ac:dyDescent="0.2">
      <c r="A367" s="552" t="str">
        <f t="shared" si="7"/>
        <v>INDEC-PB - 46113-1</v>
      </c>
      <c r="B367" s="552">
        <v>46113</v>
      </c>
      <c r="C367" s="552" t="s">
        <v>45</v>
      </c>
      <c r="D367" s="552">
        <v>1</v>
      </c>
      <c r="E367" s="572" t="s">
        <v>425</v>
      </c>
    </row>
    <row r="368" spans="1:6" x14ac:dyDescent="0.2">
      <c r="A368" s="552" t="str">
        <f t="shared" si="7"/>
        <v>INDEC-PB - 42921-2</v>
      </c>
      <c r="B368" s="552">
        <v>42921</v>
      </c>
      <c r="C368" s="552" t="s">
        <v>45</v>
      </c>
      <c r="D368" s="552">
        <v>2</v>
      </c>
      <c r="E368" s="572" t="s">
        <v>426</v>
      </c>
    </row>
    <row r="369" spans="1:6" x14ac:dyDescent="0.2">
      <c r="A369" s="552" t="str">
        <f t="shared" si="7"/>
        <v>INDEC-PB - 37990-1</v>
      </c>
      <c r="B369" s="552">
        <v>37990</v>
      </c>
      <c r="C369" s="552" t="s">
        <v>45</v>
      </c>
      <c r="D369" s="552">
        <v>1</v>
      </c>
      <c r="E369" s="572" t="s">
        <v>427</v>
      </c>
    </row>
    <row r="370" spans="1:6" x14ac:dyDescent="0.2">
      <c r="A370" s="552" t="str">
        <f t="shared" ref="A370:A425" si="8">CONCATENATE("INDEC-PB - ",B370,C370,D370)</f>
        <v>INDEC-PB - 41242-1</v>
      </c>
      <c r="B370" s="552">
        <v>41242</v>
      </c>
      <c r="C370" s="552" t="s">
        <v>45</v>
      </c>
      <c r="D370" s="552">
        <v>1</v>
      </c>
      <c r="E370" s="572" t="s">
        <v>428</v>
      </c>
    </row>
    <row r="371" spans="1:6" x14ac:dyDescent="0.2">
      <c r="A371" s="552" t="str">
        <f t="shared" si="8"/>
        <v>INDEC-PB - 37510-1</v>
      </c>
      <c r="B371" s="552">
        <v>37510</v>
      </c>
      <c r="C371" s="552" t="s">
        <v>45</v>
      </c>
      <c r="D371" s="552">
        <v>1</v>
      </c>
      <c r="E371" s="572" t="s">
        <v>429</v>
      </c>
    </row>
    <row r="372" spans="1:6" x14ac:dyDescent="0.2">
      <c r="A372" s="552" t="str">
        <f t="shared" si="8"/>
        <v>INDEC-PB - 44440-1</v>
      </c>
      <c r="B372" s="552">
        <v>44440</v>
      </c>
      <c r="C372" s="552" t="s">
        <v>45</v>
      </c>
      <c r="D372" s="552">
        <v>1</v>
      </c>
      <c r="E372" s="572" t="s">
        <v>430</v>
      </c>
    </row>
    <row r="373" spans="1:6" x14ac:dyDescent="0.2">
      <c r="A373" s="552" t="str">
        <f t="shared" si="8"/>
        <v>INDEC-PB - 35110-5</v>
      </c>
      <c r="B373" s="552">
        <v>35110</v>
      </c>
      <c r="C373" s="552" t="s">
        <v>45</v>
      </c>
      <c r="D373" s="552">
        <v>5</v>
      </c>
      <c r="E373" s="572" t="s">
        <v>431</v>
      </c>
    </row>
    <row r="374" spans="1:6" x14ac:dyDescent="0.2">
      <c r="A374" s="552" t="str">
        <f t="shared" si="8"/>
        <v>INDEC-PB - 46212-1</v>
      </c>
      <c r="B374" s="552">
        <v>46212</v>
      </c>
      <c r="C374" s="552" t="s">
        <v>45</v>
      </c>
      <c r="D374" s="552">
        <v>1</v>
      </c>
      <c r="E374" s="572" t="s">
        <v>432</v>
      </c>
    </row>
    <row r="375" spans="1:6" x14ac:dyDescent="0.2">
      <c r="A375" s="557" t="str">
        <f t="shared" si="8"/>
        <v>INDEC-PB - 33340-1</v>
      </c>
      <c r="B375" s="557">
        <v>33340</v>
      </c>
      <c r="C375" s="557" t="s">
        <v>45</v>
      </c>
      <c r="D375" s="557">
        <v>1</v>
      </c>
      <c r="E375" s="573" t="s">
        <v>433</v>
      </c>
      <c r="F375" s="551" t="s">
        <v>2040</v>
      </c>
    </row>
    <row r="376" spans="1:6" x14ac:dyDescent="0.2">
      <c r="A376" s="552" t="str">
        <f t="shared" si="8"/>
        <v>INDEC-PB - 37350-1</v>
      </c>
      <c r="B376" s="552">
        <v>37350</v>
      </c>
      <c r="C376" s="552" t="s">
        <v>45</v>
      </c>
      <c r="D376" s="552">
        <v>1</v>
      </c>
      <c r="E376" s="572" t="s">
        <v>434</v>
      </c>
    </row>
    <row r="377" spans="1:6" x14ac:dyDescent="0.2">
      <c r="A377" s="552" t="str">
        <f t="shared" si="8"/>
        <v>INDEC-PB - 37320-1</v>
      </c>
      <c r="B377" s="552">
        <v>37320</v>
      </c>
      <c r="C377" s="552" t="s">
        <v>45</v>
      </c>
      <c r="D377" s="552">
        <v>1</v>
      </c>
      <c r="E377" s="572" t="s">
        <v>435</v>
      </c>
    </row>
    <row r="378" spans="1:6" x14ac:dyDescent="0.2">
      <c r="A378" s="552" t="str">
        <f t="shared" si="8"/>
        <v>INDEC-PB - 41532-11</v>
      </c>
      <c r="B378" s="552">
        <v>41532</v>
      </c>
      <c r="C378" s="552" t="s">
        <v>45</v>
      </c>
      <c r="D378" s="552">
        <v>11</v>
      </c>
      <c r="E378" s="572" t="s">
        <v>436</v>
      </c>
    </row>
    <row r="379" spans="1:6" x14ac:dyDescent="0.2">
      <c r="A379" s="552" t="str">
        <f t="shared" si="8"/>
        <v>INDEC-PB - 41532-1</v>
      </c>
      <c r="B379" s="552">
        <v>41532</v>
      </c>
      <c r="C379" s="552" t="s">
        <v>45</v>
      </c>
      <c r="D379" s="552">
        <v>1</v>
      </c>
      <c r="E379" s="572" t="s">
        <v>437</v>
      </c>
    </row>
    <row r="380" spans="1:6" x14ac:dyDescent="0.2">
      <c r="A380" s="552" t="str">
        <f t="shared" si="8"/>
        <v>INDEC-PB - 31430-1</v>
      </c>
      <c r="B380" s="552">
        <v>31430</v>
      </c>
      <c r="C380" s="552" t="s">
        <v>45</v>
      </c>
      <c r="D380" s="552">
        <v>1</v>
      </c>
      <c r="E380" s="572" t="s">
        <v>438</v>
      </c>
    </row>
    <row r="381" spans="1:6" x14ac:dyDescent="0.2">
      <c r="A381" s="552" t="str">
        <f t="shared" si="8"/>
        <v>INDEC-PB - 31100-1</v>
      </c>
      <c r="B381" s="552">
        <v>31100</v>
      </c>
      <c r="C381" s="552" t="s">
        <v>45</v>
      </c>
      <c r="D381" s="552">
        <v>1</v>
      </c>
      <c r="E381" s="572" t="s">
        <v>439</v>
      </c>
    </row>
    <row r="382" spans="1:6" x14ac:dyDescent="0.2">
      <c r="A382" s="552" t="str">
        <f t="shared" si="8"/>
        <v>INDEC-PB - 31420-1</v>
      </c>
      <c r="B382" s="552">
        <v>31420</v>
      </c>
      <c r="C382" s="552" t="s">
        <v>45</v>
      </c>
      <c r="D382" s="552">
        <v>1</v>
      </c>
      <c r="E382" s="572" t="s">
        <v>440</v>
      </c>
    </row>
    <row r="383" spans="1:6" x14ac:dyDescent="0.2">
      <c r="A383" s="552" t="str">
        <f t="shared" si="8"/>
        <v>INDEC-PB - 31420-2</v>
      </c>
      <c r="B383" s="552">
        <v>31420</v>
      </c>
      <c r="C383" s="552" t="s">
        <v>45</v>
      </c>
      <c r="D383" s="552">
        <v>2</v>
      </c>
      <c r="E383" s="572" t="s">
        <v>441</v>
      </c>
    </row>
    <row r="384" spans="1:6" x14ac:dyDescent="0.2">
      <c r="A384" s="557" t="str">
        <f t="shared" si="8"/>
        <v>INDEC-PB - 44222-1</v>
      </c>
      <c r="B384" s="557">
        <v>44222</v>
      </c>
      <c r="C384" s="557" t="s">
        <v>45</v>
      </c>
      <c r="D384" s="557">
        <v>1</v>
      </c>
      <c r="E384" s="573" t="s">
        <v>442</v>
      </c>
      <c r="F384" s="551" t="s">
        <v>2040</v>
      </c>
    </row>
    <row r="385" spans="1:6" x14ac:dyDescent="0.2">
      <c r="A385" s="557" t="str">
        <f t="shared" si="8"/>
        <v>INDEC-PB - 44427-1</v>
      </c>
      <c r="B385" s="557">
        <v>44427</v>
      </c>
      <c r="C385" s="557" t="s">
        <v>45</v>
      </c>
      <c r="D385" s="557">
        <v>1</v>
      </c>
      <c r="E385" s="573" t="s">
        <v>443</v>
      </c>
      <c r="F385" s="551" t="s">
        <v>2040</v>
      </c>
    </row>
    <row r="386" spans="1:6" x14ac:dyDescent="0.2">
      <c r="A386" s="552" t="str">
        <f t="shared" si="8"/>
        <v>INDEC-PB - 44430-1</v>
      </c>
      <c r="B386" s="552">
        <v>44430</v>
      </c>
      <c r="C386" s="552" t="s">
        <v>45</v>
      </c>
      <c r="D386" s="552">
        <v>1</v>
      </c>
      <c r="E386" s="572" t="s">
        <v>444</v>
      </c>
    </row>
    <row r="387" spans="1:6" x14ac:dyDescent="0.2">
      <c r="A387" s="552" t="str">
        <f t="shared" si="8"/>
        <v>INDEC-PB - 37930-1</v>
      </c>
      <c r="B387" s="552">
        <v>37930</v>
      </c>
      <c r="C387" s="552" t="s">
        <v>45</v>
      </c>
      <c r="D387" s="552">
        <v>1</v>
      </c>
      <c r="E387" s="572" t="s">
        <v>445</v>
      </c>
    </row>
    <row r="388" spans="1:6" x14ac:dyDescent="0.2">
      <c r="A388" s="552" t="str">
        <f t="shared" si="8"/>
        <v>INDEC-PB - 37330-1</v>
      </c>
      <c r="B388" s="552">
        <v>37330</v>
      </c>
      <c r="C388" s="552" t="s">
        <v>45</v>
      </c>
      <c r="D388" s="552">
        <v>1</v>
      </c>
      <c r="E388" s="572" t="s">
        <v>446</v>
      </c>
    </row>
    <row r="389" spans="1:6" x14ac:dyDescent="0.2">
      <c r="A389" s="552" t="str">
        <f t="shared" si="8"/>
        <v>INDEC-PB - 37540-1</v>
      </c>
      <c r="B389" s="552">
        <v>37540</v>
      </c>
      <c r="C389" s="552" t="s">
        <v>45</v>
      </c>
      <c r="D389" s="552">
        <v>1</v>
      </c>
      <c r="E389" s="572" t="s">
        <v>447</v>
      </c>
    </row>
    <row r="390" spans="1:6" x14ac:dyDescent="0.2">
      <c r="A390" s="552" t="str">
        <f t="shared" si="8"/>
        <v>INDEC-PB - 43121-1</v>
      </c>
      <c r="B390" s="552">
        <v>43121</v>
      </c>
      <c r="C390" s="552" t="s">
        <v>45</v>
      </c>
      <c r="D390" s="552">
        <v>1</v>
      </c>
      <c r="E390" s="572" t="s">
        <v>448</v>
      </c>
    </row>
    <row r="391" spans="1:6" x14ac:dyDescent="0.2">
      <c r="A391" s="552" t="str">
        <f t="shared" si="8"/>
        <v>INDEC-PB - 46112-1</v>
      </c>
      <c r="B391" s="552">
        <v>46112</v>
      </c>
      <c r="C391" s="552" t="s">
        <v>45</v>
      </c>
      <c r="D391" s="552">
        <v>1</v>
      </c>
      <c r="E391" s="572" t="s">
        <v>449</v>
      </c>
    </row>
    <row r="392" spans="1:6" x14ac:dyDescent="0.2">
      <c r="A392" s="557" t="str">
        <f t="shared" si="8"/>
        <v>INDEC-PB - 43122-1</v>
      </c>
      <c r="B392" s="557">
        <v>43122</v>
      </c>
      <c r="C392" s="557" t="s">
        <v>45</v>
      </c>
      <c r="D392" s="557">
        <v>1</v>
      </c>
      <c r="E392" s="573" t="s">
        <v>450</v>
      </c>
      <c r="F392" s="551" t="s">
        <v>2040</v>
      </c>
    </row>
    <row r="393" spans="1:6" x14ac:dyDescent="0.2">
      <c r="A393" s="552" t="str">
        <f t="shared" si="8"/>
        <v>INDEC-PB - 49911-1</v>
      </c>
      <c r="B393" s="552">
        <v>49911</v>
      </c>
      <c r="C393" s="552" t="s">
        <v>45</v>
      </c>
      <c r="D393" s="552">
        <v>1</v>
      </c>
      <c r="E393" s="572" t="s">
        <v>451</v>
      </c>
    </row>
    <row r="394" spans="1:6" x14ac:dyDescent="0.2">
      <c r="A394" s="552" t="str">
        <f t="shared" si="8"/>
        <v>INDEC-PB - 33310-1</v>
      </c>
      <c r="B394" s="552">
        <v>33310</v>
      </c>
      <c r="C394" s="552" t="s">
        <v>45</v>
      </c>
      <c r="D394" s="552">
        <v>1</v>
      </c>
      <c r="E394" s="572" t="s">
        <v>452</v>
      </c>
    </row>
    <row r="395" spans="1:6" x14ac:dyDescent="0.2">
      <c r="A395" s="552" t="str">
        <f t="shared" si="8"/>
        <v>INDEC-PB - 32129-1</v>
      </c>
      <c r="B395" s="552">
        <v>32129</v>
      </c>
      <c r="C395" s="552" t="s">
        <v>45</v>
      </c>
      <c r="D395" s="552">
        <v>1</v>
      </c>
      <c r="E395" s="572" t="s">
        <v>453</v>
      </c>
    </row>
    <row r="396" spans="1:6" x14ac:dyDescent="0.2">
      <c r="A396" s="552" t="str">
        <f t="shared" si="8"/>
        <v>INDEC-PB - 37990-2</v>
      </c>
      <c r="B396" s="552">
        <v>37990</v>
      </c>
      <c r="C396" s="552" t="s">
        <v>45</v>
      </c>
      <c r="D396" s="552">
        <v>2</v>
      </c>
      <c r="E396" s="572" t="s">
        <v>454</v>
      </c>
    </row>
    <row r="397" spans="1:6" x14ac:dyDescent="0.2">
      <c r="A397" s="552" t="str">
        <f t="shared" si="8"/>
        <v>INDEC-PB - 41251-1</v>
      </c>
      <c r="B397" s="552">
        <v>41251</v>
      </c>
      <c r="C397" s="552" t="s">
        <v>45</v>
      </c>
      <c r="D397" s="552">
        <v>1</v>
      </c>
      <c r="E397" s="572" t="s">
        <v>455</v>
      </c>
    </row>
    <row r="398" spans="1:6" x14ac:dyDescent="0.2">
      <c r="A398" s="552" t="str">
        <f t="shared" si="8"/>
        <v>INDEC-PB - 12010-1</v>
      </c>
      <c r="B398" s="552">
        <v>12010</v>
      </c>
      <c r="C398" s="552" t="s">
        <v>45</v>
      </c>
      <c r="D398" s="552">
        <v>1</v>
      </c>
      <c r="E398" s="572" t="s">
        <v>456</v>
      </c>
    </row>
    <row r="399" spans="1:6" x14ac:dyDescent="0.2">
      <c r="A399" s="552" t="str">
        <f t="shared" si="8"/>
        <v>INDEC-PB - 15320-1</v>
      </c>
      <c r="B399" s="552">
        <v>15320</v>
      </c>
      <c r="C399" s="552" t="s">
        <v>45</v>
      </c>
      <c r="D399" s="552">
        <v>1</v>
      </c>
      <c r="E399" s="572" t="s">
        <v>457</v>
      </c>
    </row>
    <row r="400" spans="1:6" x14ac:dyDescent="0.2">
      <c r="A400" s="552" t="str">
        <f t="shared" si="8"/>
        <v>INDEC-PB - 41116-1</v>
      </c>
      <c r="B400" s="552">
        <v>41116</v>
      </c>
      <c r="C400" s="552" t="s">
        <v>45</v>
      </c>
      <c r="D400" s="552">
        <v>1</v>
      </c>
      <c r="E400" s="572" t="s">
        <v>458</v>
      </c>
    </row>
    <row r="401" spans="1:6" x14ac:dyDescent="0.2">
      <c r="A401" s="552" t="str">
        <f t="shared" si="8"/>
        <v>INDEC-PB - 42999-1</v>
      </c>
      <c r="B401" s="552">
        <v>42999</v>
      </c>
      <c r="C401" s="552" t="s">
        <v>45</v>
      </c>
      <c r="D401" s="552">
        <v>1</v>
      </c>
      <c r="E401" s="572" t="s">
        <v>459</v>
      </c>
    </row>
    <row r="402" spans="1:6" x14ac:dyDescent="0.2">
      <c r="A402" s="552" t="str">
        <f t="shared" si="8"/>
        <v>INDEC-PB - 35110-3</v>
      </c>
      <c r="B402" s="552">
        <v>35110</v>
      </c>
      <c r="C402" s="552" t="s">
        <v>45</v>
      </c>
      <c r="D402" s="552">
        <v>3</v>
      </c>
      <c r="E402" s="572" t="s">
        <v>460</v>
      </c>
    </row>
    <row r="403" spans="1:6" x14ac:dyDescent="0.2">
      <c r="A403" s="552" t="str">
        <f t="shared" si="8"/>
        <v>INDEC-PB - 34740-6</v>
      </c>
      <c r="B403" s="552">
        <v>34740</v>
      </c>
      <c r="C403" s="552" t="s">
        <v>45</v>
      </c>
      <c r="D403" s="552">
        <v>6</v>
      </c>
      <c r="E403" s="572" t="s">
        <v>461</v>
      </c>
    </row>
    <row r="404" spans="1:6" x14ac:dyDescent="0.2">
      <c r="A404" s="552" t="str">
        <f t="shared" si="8"/>
        <v>INDEC-PB - 34730-1</v>
      </c>
      <c r="B404" s="552">
        <v>34730</v>
      </c>
      <c r="C404" s="552" t="s">
        <v>45</v>
      </c>
      <c r="D404" s="552">
        <v>1</v>
      </c>
      <c r="E404" s="572" t="s">
        <v>462</v>
      </c>
    </row>
    <row r="405" spans="1:6" x14ac:dyDescent="0.2">
      <c r="A405" s="557" t="str">
        <f t="shared" si="8"/>
        <v>INDEC-PB - 34720-1</v>
      </c>
      <c r="B405" s="557">
        <v>34720</v>
      </c>
      <c r="C405" s="557" t="s">
        <v>45</v>
      </c>
      <c r="D405" s="557">
        <v>1</v>
      </c>
      <c r="E405" s="573" t="s">
        <v>463</v>
      </c>
      <c r="F405" s="551" t="s">
        <v>2040</v>
      </c>
    </row>
    <row r="406" spans="1:6" x14ac:dyDescent="0.2">
      <c r="A406" s="552" t="str">
        <f t="shared" si="8"/>
        <v>INDEC-PB - 34710-1</v>
      </c>
      <c r="B406" s="552">
        <v>34710</v>
      </c>
      <c r="C406" s="552" t="s">
        <v>45</v>
      </c>
      <c r="D406" s="552">
        <v>1</v>
      </c>
      <c r="E406" s="572" t="s">
        <v>464</v>
      </c>
    </row>
    <row r="407" spans="1:6" x14ac:dyDescent="0.2">
      <c r="A407" s="552" t="str">
        <f t="shared" si="8"/>
        <v>INDEC-PB - 41530-1</v>
      </c>
      <c r="B407" s="552">
        <v>41530</v>
      </c>
      <c r="C407" s="552" t="s">
        <v>45</v>
      </c>
      <c r="D407" s="552">
        <v>1</v>
      </c>
      <c r="E407" s="572" t="s">
        <v>465</v>
      </c>
    </row>
    <row r="408" spans="1:6" x14ac:dyDescent="0.2">
      <c r="A408" s="552" t="str">
        <f t="shared" si="8"/>
        <v>INDEC-PB - 41510-1</v>
      </c>
      <c r="B408" s="552">
        <v>41510</v>
      </c>
      <c r="C408" s="552" t="s">
        <v>45</v>
      </c>
      <c r="D408" s="552">
        <v>1</v>
      </c>
      <c r="E408" s="572" t="s">
        <v>466</v>
      </c>
    </row>
    <row r="409" spans="1:6" x14ac:dyDescent="0.2">
      <c r="A409" s="552" t="str">
        <f t="shared" si="8"/>
        <v>INDEC-PB - 31600-2</v>
      </c>
      <c r="B409" s="552">
        <v>31600</v>
      </c>
      <c r="C409" s="552" t="s">
        <v>45</v>
      </c>
      <c r="D409" s="552">
        <v>2</v>
      </c>
      <c r="E409" s="572" t="s">
        <v>467</v>
      </c>
    </row>
    <row r="410" spans="1:6" x14ac:dyDescent="0.2">
      <c r="A410" s="552" t="str">
        <f t="shared" si="8"/>
        <v>INDEC-PB - 49129-2</v>
      </c>
      <c r="B410" s="552">
        <v>49129</v>
      </c>
      <c r="C410" s="552" t="s">
        <v>45</v>
      </c>
      <c r="D410" s="552">
        <v>2</v>
      </c>
      <c r="E410" s="572" t="s">
        <v>468</v>
      </c>
    </row>
    <row r="411" spans="1:6" x14ac:dyDescent="0.2">
      <c r="A411" s="552" t="str">
        <f t="shared" si="8"/>
        <v>INDEC-PB - 34740-1</v>
      </c>
      <c r="B411" s="552">
        <v>34740</v>
      </c>
      <c r="C411" s="552" t="s">
        <v>45</v>
      </c>
      <c r="D411" s="552">
        <v>1</v>
      </c>
      <c r="E411" s="572" t="s">
        <v>469</v>
      </c>
    </row>
    <row r="412" spans="1:6" x14ac:dyDescent="0.2">
      <c r="A412" s="557" t="str">
        <f t="shared" si="8"/>
        <v>INDEC-PB - 43310-1</v>
      </c>
      <c r="B412" s="557">
        <v>43310</v>
      </c>
      <c r="C412" s="557" t="s">
        <v>45</v>
      </c>
      <c r="D412" s="557">
        <v>1</v>
      </c>
      <c r="E412" s="573" t="s">
        <v>470</v>
      </c>
      <c r="F412" s="551" t="s">
        <v>2040</v>
      </c>
    </row>
    <row r="413" spans="1:6" x14ac:dyDescent="0.2">
      <c r="A413" s="552" t="str">
        <f t="shared" si="8"/>
        <v>INDEC-PB - 44240-1</v>
      </c>
      <c r="B413" s="552">
        <v>44240</v>
      </c>
      <c r="C413" s="552" t="s">
        <v>45</v>
      </c>
      <c r="D413" s="552">
        <v>1</v>
      </c>
      <c r="E413" s="572" t="s">
        <v>471</v>
      </c>
    </row>
    <row r="414" spans="1:6" x14ac:dyDescent="0.2">
      <c r="A414" s="552" t="str">
        <f t="shared" si="8"/>
        <v>INDEC-PB - 33500-1</v>
      </c>
      <c r="B414" s="552">
        <v>33500</v>
      </c>
      <c r="C414" s="552" t="s">
        <v>45</v>
      </c>
      <c r="D414" s="552">
        <v>1</v>
      </c>
      <c r="E414" s="572" t="s">
        <v>472</v>
      </c>
    </row>
    <row r="415" spans="1:6" x14ac:dyDescent="0.2">
      <c r="A415" s="552" t="str">
        <f t="shared" si="8"/>
        <v>INDEC-PB - 44214-1</v>
      </c>
      <c r="B415" s="552">
        <v>44214</v>
      </c>
      <c r="C415" s="552" t="s">
        <v>45</v>
      </c>
      <c r="D415" s="552">
        <v>1</v>
      </c>
      <c r="E415" s="572" t="s">
        <v>473</v>
      </c>
    </row>
    <row r="416" spans="1:6" x14ac:dyDescent="0.2">
      <c r="A416" s="552" t="str">
        <f t="shared" si="8"/>
        <v>INDEC-PB - 37350-2</v>
      </c>
      <c r="B416" s="552">
        <v>37350</v>
      </c>
      <c r="C416" s="552" t="s">
        <v>45</v>
      </c>
      <c r="D416" s="552">
        <v>2</v>
      </c>
      <c r="E416" s="572" t="s">
        <v>474</v>
      </c>
    </row>
    <row r="417" spans="1:6" x14ac:dyDescent="0.2">
      <c r="A417" s="552" t="str">
        <f t="shared" si="8"/>
        <v>INDEC-PB - 42943-1</v>
      </c>
      <c r="B417" s="552">
        <v>42943</v>
      </c>
      <c r="C417" s="552" t="s">
        <v>45</v>
      </c>
      <c r="D417" s="552">
        <v>1</v>
      </c>
      <c r="E417" s="572" t="s">
        <v>475</v>
      </c>
    </row>
    <row r="418" spans="1:6" x14ac:dyDescent="0.2">
      <c r="A418" s="552" t="str">
        <f t="shared" si="8"/>
        <v>INDEC-PB - 36990-1</v>
      </c>
      <c r="B418" s="552">
        <v>36990</v>
      </c>
      <c r="C418" s="552" t="s">
        <v>45</v>
      </c>
      <c r="D418" s="552">
        <v>1</v>
      </c>
      <c r="E418" s="572" t="s">
        <v>476</v>
      </c>
    </row>
    <row r="419" spans="1:6" x14ac:dyDescent="0.2">
      <c r="A419" s="552" t="str">
        <f t="shared" si="8"/>
        <v>INDEC-PB - 46121-1</v>
      </c>
      <c r="B419" s="552">
        <v>46121</v>
      </c>
      <c r="C419" s="552" t="s">
        <v>45</v>
      </c>
      <c r="D419" s="552">
        <v>1</v>
      </c>
      <c r="E419" s="572" t="s">
        <v>477</v>
      </c>
    </row>
    <row r="420" spans="1:6" x14ac:dyDescent="0.2">
      <c r="A420" s="552" t="str">
        <f t="shared" si="8"/>
        <v>INDEC-PB - 49115-1</v>
      </c>
      <c r="B420" s="552">
        <v>49115</v>
      </c>
      <c r="C420" s="552" t="s">
        <v>45</v>
      </c>
      <c r="D420" s="552">
        <v>1</v>
      </c>
      <c r="E420" s="572" t="s">
        <v>478</v>
      </c>
    </row>
    <row r="421" spans="1:6" x14ac:dyDescent="0.2">
      <c r="A421" s="557" t="str">
        <f t="shared" si="8"/>
        <v>INDEC-PB - 37113-1</v>
      </c>
      <c r="B421" s="557">
        <v>37113</v>
      </c>
      <c r="C421" s="557" t="s">
        <v>45</v>
      </c>
      <c r="D421" s="557">
        <v>1</v>
      </c>
      <c r="E421" s="573" t="s">
        <v>479</v>
      </c>
      <c r="F421" s="551" t="s">
        <v>2040</v>
      </c>
    </row>
    <row r="422" spans="1:6" x14ac:dyDescent="0.2">
      <c r="A422" s="557" t="str">
        <f t="shared" si="8"/>
        <v>INDEC-PB - 37199-3</v>
      </c>
      <c r="B422" s="557">
        <v>37199</v>
      </c>
      <c r="C422" s="557" t="s">
        <v>45</v>
      </c>
      <c r="D422" s="557">
        <v>3</v>
      </c>
      <c r="E422" s="573" t="s">
        <v>480</v>
      </c>
      <c r="F422" s="551" t="s">
        <v>2040</v>
      </c>
    </row>
    <row r="423" spans="1:6" x14ac:dyDescent="0.2">
      <c r="A423" s="557" t="str">
        <f t="shared" si="8"/>
        <v>INDEC-PB - 37199-1</v>
      </c>
      <c r="B423" s="557">
        <v>37199</v>
      </c>
      <c r="C423" s="557" t="s">
        <v>45</v>
      </c>
      <c r="D423" s="557">
        <v>1</v>
      </c>
      <c r="E423" s="573" t="s">
        <v>481</v>
      </c>
      <c r="F423" s="551" t="s">
        <v>2040</v>
      </c>
    </row>
    <row r="424" spans="1:6" x14ac:dyDescent="0.2">
      <c r="A424" s="557" t="str">
        <f t="shared" si="8"/>
        <v>INDEC-PB - 37199-2</v>
      </c>
      <c r="B424" s="557">
        <v>37199</v>
      </c>
      <c r="C424" s="557" t="s">
        <v>45</v>
      </c>
      <c r="D424" s="557">
        <v>2</v>
      </c>
      <c r="E424" s="573" t="s">
        <v>482</v>
      </c>
      <c r="F424" s="551" t="s">
        <v>2040</v>
      </c>
    </row>
    <row r="425" spans="1:6" x14ac:dyDescent="0.2">
      <c r="A425" s="552" t="str">
        <f t="shared" si="8"/>
        <v>INDEC-PB - 15200-1</v>
      </c>
      <c r="B425" s="552">
        <v>15200</v>
      </c>
      <c r="C425" s="552" t="s">
        <v>45</v>
      </c>
      <c r="D425" s="552">
        <v>1</v>
      </c>
      <c r="E425" s="572" t="s">
        <v>483</v>
      </c>
    </row>
    <row r="426" spans="1:6" x14ac:dyDescent="0.2">
      <c r="A426" s="574"/>
      <c r="E426" s="575"/>
    </row>
    <row r="427" spans="1:6" x14ac:dyDescent="0.2">
      <c r="A427" s="576"/>
      <c r="E427" s="575" t="s">
        <v>484</v>
      </c>
    </row>
    <row r="428" spans="1:6" x14ac:dyDescent="0.2">
      <c r="A428" s="552" t="str">
        <f t="shared" ref="A428:A445" si="9">CONCATENATE("INDEC-PB - ",B428,C428,D428)</f>
        <v>INDEC-PB - 94920-1</v>
      </c>
      <c r="B428" s="552">
        <v>94920</v>
      </c>
      <c r="C428" s="552" t="s">
        <v>45</v>
      </c>
      <c r="D428" s="552">
        <v>1</v>
      </c>
      <c r="E428" s="572" t="s">
        <v>485</v>
      </c>
    </row>
    <row r="429" spans="1:6" x14ac:dyDescent="0.2">
      <c r="A429" s="552" t="str">
        <f t="shared" si="9"/>
        <v>INDEC-PB - 91223-1</v>
      </c>
      <c r="B429" s="552">
        <v>91223</v>
      </c>
      <c r="C429" s="552" t="s">
        <v>45</v>
      </c>
      <c r="D429" s="552">
        <v>1</v>
      </c>
      <c r="E429" s="572" t="s">
        <v>486</v>
      </c>
    </row>
    <row r="430" spans="1:6" x14ac:dyDescent="0.2">
      <c r="A430" s="552" t="str">
        <f t="shared" si="9"/>
        <v>INDEC-PB - 91211-11</v>
      </c>
      <c r="B430" s="552">
        <v>91211</v>
      </c>
      <c r="C430" s="552" t="s">
        <v>45</v>
      </c>
      <c r="D430" s="552">
        <v>11</v>
      </c>
      <c r="E430" s="572" t="s">
        <v>487</v>
      </c>
    </row>
    <row r="431" spans="1:6" x14ac:dyDescent="0.2">
      <c r="A431" s="552" t="str">
        <f t="shared" si="9"/>
        <v>INDEC-PB - 91211-1</v>
      </c>
      <c r="B431" s="552">
        <v>91211</v>
      </c>
      <c r="C431" s="552" t="s">
        <v>45</v>
      </c>
      <c r="D431" s="552">
        <v>1</v>
      </c>
      <c r="E431" s="572" t="s">
        <v>488</v>
      </c>
    </row>
    <row r="432" spans="1:6" x14ac:dyDescent="0.2">
      <c r="A432" s="557" t="str">
        <f t="shared" si="9"/>
        <v>INDEC-PB - 91511-1</v>
      </c>
      <c r="B432" s="557">
        <v>91511</v>
      </c>
      <c r="C432" s="557" t="s">
        <v>45</v>
      </c>
      <c r="D432" s="557">
        <v>1</v>
      </c>
      <c r="E432" s="573" t="s">
        <v>489</v>
      </c>
      <c r="F432" s="551" t="s">
        <v>2040</v>
      </c>
    </row>
    <row r="433" spans="1:6" x14ac:dyDescent="0.2">
      <c r="A433" s="552" t="str">
        <f t="shared" si="9"/>
        <v>INDEC-PB - 91547-1</v>
      </c>
      <c r="B433" s="552">
        <v>91547</v>
      </c>
      <c r="C433" s="552" t="s">
        <v>45</v>
      </c>
      <c r="D433" s="552">
        <v>1</v>
      </c>
      <c r="E433" s="572" t="s">
        <v>490</v>
      </c>
    </row>
    <row r="434" spans="1:6" x14ac:dyDescent="0.2">
      <c r="A434" s="552" t="str">
        <f t="shared" si="9"/>
        <v>INDEC-PB - 81100-1</v>
      </c>
      <c r="B434" s="552">
        <v>81100</v>
      </c>
      <c r="C434" s="552" t="s">
        <v>45</v>
      </c>
      <c r="D434" s="552">
        <v>1</v>
      </c>
      <c r="E434" s="572" t="s">
        <v>491</v>
      </c>
    </row>
    <row r="435" spans="1:6" x14ac:dyDescent="0.2">
      <c r="A435" s="557" t="str">
        <f t="shared" si="9"/>
        <v>INDEC-PB - 91601-2</v>
      </c>
      <c r="B435" s="557">
        <v>91601</v>
      </c>
      <c r="C435" s="557" t="s">
        <v>45</v>
      </c>
      <c r="D435" s="557">
        <v>2</v>
      </c>
      <c r="E435" s="573" t="s">
        <v>492</v>
      </c>
      <c r="F435" s="551" t="s">
        <v>2040</v>
      </c>
    </row>
    <row r="436" spans="1:6" x14ac:dyDescent="0.2">
      <c r="A436" s="552" t="str">
        <f t="shared" si="9"/>
        <v>INDEC-PB - 94214-1</v>
      </c>
      <c r="B436" s="552">
        <v>94214</v>
      </c>
      <c r="C436" s="552" t="s">
        <v>45</v>
      </c>
      <c r="D436" s="552">
        <v>1</v>
      </c>
      <c r="E436" s="572" t="s">
        <v>493</v>
      </c>
    </row>
    <row r="437" spans="1:6" x14ac:dyDescent="0.2">
      <c r="A437" s="552" t="str">
        <f t="shared" si="9"/>
        <v>INDEC-PB - 94216-1</v>
      </c>
      <c r="B437" s="552">
        <v>94216</v>
      </c>
      <c r="C437" s="552" t="s">
        <v>45</v>
      </c>
      <c r="D437" s="552">
        <v>1</v>
      </c>
      <c r="E437" s="572" t="s">
        <v>494</v>
      </c>
    </row>
    <row r="438" spans="1:6" x14ac:dyDescent="0.2">
      <c r="A438" s="557" t="str">
        <f t="shared" si="9"/>
        <v>INDEC-PB - 93310-2</v>
      </c>
      <c r="B438" s="557">
        <v>93310</v>
      </c>
      <c r="C438" s="557" t="s">
        <v>45</v>
      </c>
      <c r="D438" s="557">
        <v>2</v>
      </c>
      <c r="E438" s="573" t="s">
        <v>495</v>
      </c>
      <c r="F438" s="551" t="s">
        <v>2040</v>
      </c>
    </row>
    <row r="439" spans="1:6" x14ac:dyDescent="0.2">
      <c r="A439" s="552" t="str">
        <f t="shared" si="9"/>
        <v>INDEC-PB - 82129-1</v>
      </c>
      <c r="B439" s="552">
        <v>82129</v>
      </c>
      <c r="C439" s="552" t="s">
        <v>45</v>
      </c>
      <c r="D439" s="552">
        <v>1</v>
      </c>
      <c r="E439" s="572" t="s">
        <v>496</v>
      </c>
    </row>
    <row r="440" spans="1:6" x14ac:dyDescent="0.2">
      <c r="A440" s="557" t="str">
        <f t="shared" si="9"/>
        <v>INDEC-PB - 91251-1</v>
      </c>
      <c r="B440" s="557">
        <v>91251</v>
      </c>
      <c r="C440" s="557" t="s">
        <v>45</v>
      </c>
      <c r="D440" s="557">
        <v>1</v>
      </c>
      <c r="E440" s="573" t="s">
        <v>497</v>
      </c>
      <c r="F440" s="551" t="s">
        <v>2040</v>
      </c>
    </row>
    <row r="441" spans="1:6" x14ac:dyDescent="0.2">
      <c r="A441" s="552" t="str">
        <f t="shared" si="9"/>
        <v>INDEC-PB - 93310-1</v>
      </c>
      <c r="B441" s="552">
        <v>93310</v>
      </c>
      <c r="C441" s="552" t="s">
        <v>45</v>
      </c>
      <c r="D441" s="552">
        <v>1</v>
      </c>
      <c r="E441" s="572" t="s">
        <v>498</v>
      </c>
    </row>
    <row r="442" spans="1:6" x14ac:dyDescent="0.2">
      <c r="A442" s="557" t="str">
        <f t="shared" si="9"/>
        <v>INDEC-PB - 84710-1</v>
      </c>
      <c r="B442" s="557">
        <v>84710</v>
      </c>
      <c r="C442" s="557" t="s">
        <v>45</v>
      </c>
      <c r="D442" s="557">
        <v>1</v>
      </c>
      <c r="E442" s="573" t="s">
        <v>499</v>
      </c>
      <c r="F442" s="551" t="s">
        <v>2040</v>
      </c>
    </row>
    <row r="443" spans="1:6" x14ac:dyDescent="0.2">
      <c r="A443" s="557" t="str">
        <f t="shared" si="9"/>
        <v>INDEC-PB - 84740-1</v>
      </c>
      <c r="B443" s="557">
        <v>84740</v>
      </c>
      <c r="C443" s="557" t="s">
        <v>45</v>
      </c>
      <c r="D443" s="557">
        <v>1</v>
      </c>
      <c r="E443" s="573" t="s">
        <v>500</v>
      </c>
      <c r="F443" s="551" t="s">
        <v>2040</v>
      </c>
    </row>
    <row r="444" spans="1:6" x14ac:dyDescent="0.2">
      <c r="A444" s="557" t="str">
        <f t="shared" si="9"/>
        <v>INDEC-PB - 84230-1</v>
      </c>
      <c r="B444" s="557">
        <v>84230</v>
      </c>
      <c r="C444" s="557" t="s">
        <v>45</v>
      </c>
      <c r="D444" s="557">
        <v>1</v>
      </c>
      <c r="E444" s="573" t="s">
        <v>501</v>
      </c>
      <c r="F444" s="551" t="s">
        <v>2040</v>
      </c>
    </row>
    <row r="445" spans="1:6" x14ac:dyDescent="0.2">
      <c r="A445" s="552" t="str">
        <f t="shared" si="9"/>
        <v>INDEC-PB - 85490-1</v>
      </c>
      <c r="B445" s="552">
        <v>85490</v>
      </c>
      <c r="C445" s="552" t="s">
        <v>45</v>
      </c>
      <c r="D445" s="552">
        <v>1</v>
      </c>
      <c r="E445" s="572" t="s">
        <v>502</v>
      </c>
    </row>
    <row r="448" spans="1:6" x14ac:dyDescent="0.2">
      <c r="A448" s="572"/>
      <c r="B448" s="550" t="s">
        <v>504</v>
      </c>
      <c r="C448" s="18"/>
      <c r="D448" s="18"/>
    </row>
    <row r="449" spans="1:5" x14ac:dyDescent="0.2">
      <c r="A449" s="572"/>
      <c r="B449" s="560"/>
      <c r="C449" s="18"/>
      <c r="D449" s="18"/>
    </row>
    <row r="450" spans="1:5" x14ac:dyDescent="0.2">
      <c r="A450" s="795" t="s">
        <v>343</v>
      </c>
      <c r="B450" s="795" t="s">
        <v>505</v>
      </c>
      <c r="C450" s="795"/>
      <c r="D450" s="795"/>
      <c r="E450" s="795" t="s">
        <v>43</v>
      </c>
    </row>
    <row r="451" spans="1:5" x14ac:dyDescent="0.2">
      <c r="A451" s="795"/>
      <c r="B451" s="795" t="s">
        <v>506</v>
      </c>
      <c r="C451" s="795"/>
      <c r="D451" s="795"/>
      <c r="E451" s="795"/>
    </row>
    <row r="452" spans="1:5" x14ac:dyDescent="0.2">
      <c r="B452" s="16"/>
      <c r="C452" s="18"/>
      <c r="D452" s="18"/>
      <c r="E452" s="577"/>
    </row>
    <row r="453" spans="1:5" x14ac:dyDescent="0.2">
      <c r="B453" s="16"/>
      <c r="C453" s="18"/>
      <c r="D453" s="18"/>
      <c r="E453" s="575" t="s">
        <v>507</v>
      </c>
    </row>
    <row r="454" spans="1:5" x14ac:dyDescent="0.2">
      <c r="A454" s="552" t="str">
        <f t="shared" ref="A454:A474" si="10">CONCATENATE("INDEC-PB - ",B454,C454,D454)</f>
        <v>INDEC-PB - 2811-1</v>
      </c>
      <c r="B454" s="18">
        <v>2811</v>
      </c>
      <c r="C454" s="552" t="s">
        <v>45</v>
      </c>
      <c r="D454" s="552">
        <v>1</v>
      </c>
      <c r="E454" s="17" t="s">
        <v>508</v>
      </c>
    </row>
    <row r="455" spans="1:5" x14ac:dyDescent="0.2">
      <c r="A455" s="552" t="str">
        <f t="shared" si="10"/>
        <v>INDEC-PB - 2710-1</v>
      </c>
      <c r="B455" s="18">
        <v>2710</v>
      </c>
      <c r="C455" s="552" t="s">
        <v>45</v>
      </c>
      <c r="D455" s="552">
        <v>1</v>
      </c>
      <c r="E455" s="17" t="s">
        <v>509</v>
      </c>
    </row>
    <row r="456" spans="1:5" x14ac:dyDescent="0.2">
      <c r="A456" s="552" t="str">
        <f t="shared" si="10"/>
        <v>INDEC-PB - 2922-1</v>
      </c>
      <c r="B456" s="18">
        <v>2922</v>
      </c>
      <c r="C456" s="552" t="s">
        <v>45</v>
      </c>
      <c r="D456" s="552">
        <v>1</v>
      </c>
      <c r="E456" s="17" t="s">
        <v>510</v>
      </c>
    </row>
    <row r="457" spans="1:5" x14ac:dyDescent="0.2">
      <c r="A457" s="552" t="str">
        <f t="shared" si="10"/>
        <v>INDEC-PB - 2691-</v>
      </c>
      <c r="B457" s="18">
        <v>2691</v>
      </c>
      <c r="C457" s="552" t="s">
        <v>45</v>
      </c>
      <c r="E457" s="17" t="s">
        <v>511</v>
      </c>
    </row>
    <row r="458" spans="1:5" x14ac:dyDescent="0.2">
      <c r="A458" s="552" t="str">
        <f t="shared" si="10"/>
        <v>INDEC-PB - 2695-</v>
      </c>
      <c r="B458" s="18">
        <v>2695</v>
      </c>
      <c r="C458" s="552" t="s">
        <v>45</v>
      </c>
      <c r="E458" s="17" t="s">
        <v>512</v>
      </c>
    </row>
    <row r="459" spans="1:5" x14ac:dyDescent="0.2">
      <c r="A459" s="552" t="str">
        <f t="shared" si="10"/>
        <v>INDEC-PB - 3410-2</v>
      </c>
      <c r="B459" s="18">
        <v>3410</v>
      </c>
      <c r="C459" s="552" t="s">
        <v>45</v>
      </c>
      <c r="D459" s="552">
        <v>2</v>
      </c>
      <c r="E459" s="17" t="s">
        <v>513</v>
      </c>
    </row>
    <row r="460" spans="1:5" x14ac:dyDescent="0.2">
      <c r="A460" s="552" t="str">
        <f t="shared" si="10"/>
        <v>INDEC-PB - 2520-1</v>
      </c>
      <c r="B460" s="18">
        <v>2520</v>
      </c>
      <c r="C460" s="552" t="s">
        <v>45</v>
      </c>
      <c r="D460" s="552">
        <v>1</v>
      </c>
      <c r="E460" s="572" t="s">
        <v>514</v>
      </c>
    </row>
    <row r="461" spans="1:5" x14ac:dyDescent="0.2">
      <c r="A461" s="552" t="str">
        <f t="shared" si="10"/>
        <v>INDEC-PB - 2413-3</v>
      </c>
      <c r="B461" s="18">
        <v>2413</v>
      </c>
      <c r="C461" s="552" t="s">
        <v>45</v>
      </c>
      <c r="D461" s="552">
        <v>3</v>
      </c>
      <c r="E461" s="572" t="s">
        <v>515</v>
      </c>
    </row>
    <row r="462" spans="1:5" x14ac:dyDescent="0.2">
      <c r="A462" s="552" t="str">
        <f t="shared" si="10"/>
        <v>INDEC-PB - 2519-1</v>
      </c>
      <c r="B462" s="18">
        <v>2519</v>
      </c>
      <c r="C462" s="552" t="s">
        <v>45</v>
      </c>
      <c r="D462" s="552">
        <v>1</v>
      </c>
      <c r="E462" s="572" t="s">
        <v>516</v>
      </c>
    </row>
    <row r="463" spans="1:5" x14ac:dyDescent="0.2">
      <c r="A463" s="552" t="str">
        <f t="shared" si="10"/>
        <v>INDEC-PB - 2520-3</v>
      </c>
      <c r="B463" s="18">
        <v>2520</v>
      </c>
      <c r="C463" s="552" t="s">
        <v>45</v>
      </c>
      <c r="D463" s="552">
        <v>3</v>
      </c>
      <c r="E463" s="572" t="s">
        <v>517</v>
      </c>
    </row>
    <row r="464" spans="1:5" x14ac:dyDescent="0.2">
      <c r="A464" s="552" t="str">
        <f t="shared" si="10"/>
        <v>INDEC-PB - 2022-1</v>
      </c>
      <c r="B464" s="18">
        <v>2022</v>
      </c>
      <c r="C464" s="552" t="s">
        <v>45</v>
      </c>
      <c r="D464" s="552">
        <v>1</v>
      </c>
      <c r="E464" s="572" t="s">
        <v>518</v>
      </c>
    </row>
    <row r="465" spans="1:5" x14ac:dyDescent="0.2">
      <c r="A465" s="552" t="str">
        <f t="shared" si="10"/>
        <v>INDEC-PB - 2511-1</v>
      </c>
      <c r="B465" s="18">
        <v>2511</v>
      </c>
      <c r="C465" s="552" t="s">
        <v>45</v>
      </c>
      <c r="D465" s="552">
        <v>1</v>
      </c>
      <c r="E465" s="572" t="s">
        <v>519</v>
      </c>
    </row>
    <row r="466" spans="1:5" x14ac:dyDescent="0.2">
      <c r="A466" s="552" t="str">
        <f t="shared" si="10"/>
        <v>INDEC-PB - 2899-</v>
      </c>
      <c r="B466" s="18">
        <v>2899</v>
      </c>
      <c r="C466" s="552" t="s">
        <v>45</v>
      </c>
      <c r="E466" s="572" t="s">
        <v>520</v>
      </c>
    </row>
    <row r="467" spans="1:5" x14ac:dyDescent="0.2">
      <c r="A467" s="552" t="str">
        <f t="shared" si="10"/>
        <v>INDEC-PB - 3110-1</v>
      </c>
      <c r="B467" s="18">
        <v>3110</v>
      </c>
      <c r="C467" s="552" t="s">
        <v>45</v>
      </c>
      <c r="D467" s="552">
        <v>1</v>
      </c>
      <c r="E467" s="572" t="s">
        <v>521</v>
      </c>
    </row>
    <row r="468" spans="1:5" x14ac:dyDescent="0.2">
      <c r="A468" s="552" t="str">
        <f t="shared" si="10"/>
        <v>INDEC-PB - 2320-1</v>
      </c>
      <c r="B468" s="18">
        <v>2320</v>
      </c>
      <c r="C468" s="552" t="s">
        <v>45</v>
      </c>
      <c r="D468" s="552">
        <v>1</v>
      </c>
      <c r="E468" s="572" t="s">
        <v>522</v>
      </c>
    </row>
    <row r="469" spans="1:5" x14ac:dyDescent="0.2">
      <c r="A469" s="552" t="str">
        <f t="shared" si="10"/>
        <v>INDEC-PB - 2924-1</v>
      </c>
      <c r="B469" s="18">
        <v>2924</v>
      </c>
      <c r="C469" s="552" t="s">
        <v>45</v>
      </c>
      <c r="D469" s="552">
        <v>1</v>
      </c>
      <c r="E469" s="572" t="s">
        <v>523</v>
      </c>
    </row>
    <row r="470" spans="1:5" x14ac:dyDescent="0.2">
      <c r="A470" s="552" t="str">
        <f t="shared" si="10"/>
        <v>INDEC-PB - 2692-1</v>
      </c>
      <c r="B470" s="18">
        <v>2692</v>
      </c>
      <c r="C470" s="552" t="s">
        <v>45</v>
      </c>
      <c r="D470" s="552">
        <v>1</v>
      </c>
      <c r="E470" s="572" t="s">
        <v>524</v>
      </c>
    </row>
    <row r="471" spans="1:5" x14ac:dyDescent="0.2">
      <c r="A471" s="552" t="str">
        <f t="shared" si="10"/>
        <v>INDEC-PB - 3410-</v>
      </c>
      <c r="B471" s="18">
        <v>3410</v>
      </c>
      <c r="C471" s="552" t="s">
        <v>45</v>
      </c>
      <c r="E471" s="572" t="s">
        <v>525</v>
      </c>
    </row>
    <row r="472" spans="1:5" x14ac:dyDescent="0.2">
      <c r="A472" s="552" t="str">
        <f t="shared" si="10"/>
        <v>INDEC-PB - 2413-1</v>
      </c>
      <c r="B472" s="18">
        <v>2413</v>
      </c>
      <c r="C472" s="552" t="s">
        <v>45</v>
      </c>
      <c r="D472" s="552">
        <v>1</v>
      </c>
      <c r="E472" s="572" t="s">
        <v>526</v>
      </c>
    </row>
    <row r="473" spans="1:5" x14ac:dyDescent="0.2">
      <c r="A473" s="552" t="str">
        <f t="shared" si="10"/>
        <v>INDEC-PB - 291-</v>
      </c>
      <c r="B473" s="18">
        <v>291</v>
      </c>
      <c r="C473" s="552" t="s">
        <v>45</v>
      </c>
      <c r="E473" s="17" t="s">
        <v>527</v>
      </c>
    </row>
    <row r="474" spans="1:5" x14ac:dyDescent="0.2">
      <c r="A474" s="552" t="str">
        <f t="shared" si="10"/>
        <v>INDEC-PB - 2610-1</v>
      </c>
      <c r="B474" s="18">
        <v>2610</v>
      </c>
      <c r="C474" s="552" t="s">
        <v>45</v>
      </c>
      <c r="D474" s="552">
        <v>1</v>
      </c>
      <c r="E474" s="17" t="s">
        <v>528</v>
      </c>
    </row>
    <row r="475" spans="1:5" x14ac:dyDescent="0.2">
      <c r="A475" s="18"/>
      <c r="B475" s="561"/>
      <c r="C475" s="18"/>
      <c r="E475" s="17"/>
    </row>
    <row r="476" spans="1:5" x14ac:dyDescent="0.2">
      <c r="A476" s="18"/>
      <c r="B476" s="561"/>
      <c r="C476" s="18"/>
      <c r="E476" s="575" t="s">
        <v>484</v>
      </c>
    </row>
    <row r="477" spans="1:5" x14ac:dyDescent="0.2">
      <c r="A477" s="552" t="str">
        <f t="shared" ref="A477:A482" si="11">CONCATENATE("INDEC-PB - ",B477,C477,D477)</f>
        <v>INDEC-PB - 2710-1</v>
      </c>
      <c r="B477" s="18">
        <v>2710</v>
      </c>
      <c r="C477" s="552" t="s">
        <v>45</v>
      </c>
      <c r="D477" s="18">
        <v>1</v>
      </c>
      <c r="E477" s="17" t="s">
        <v>529</v>
      </c>
    </row>
    <row r="478" spans="1:5" x14ac:dyDescent="0.2">
      <c r="A478" s="552" t="str">
        <f t="shared" si="11"/>
        <v>INDEC-PB - 2720-1</v>
      </c>
      <c r="B478" s="18">
        <v>2720</v>
      </c>
      <c r="C478" s="552" t="s">
        <v>45</v>
      </c>
      <c r="D478" s="18">
        <v>1</v>
      </c>
      <c r="E478" s="17" t="s">
        <v>530</v>
      </c>
    </row>
    <row r="479" spans="1:5" x14ac:dyDescent="0.2">
      <c r="A479" s="552" t="str">
        <f t="shared" si="11"/>
        <v>INDEC-PB - 2922-1</v>
      </c>
      <c r="B479" s="18">
        <v>2922</v>
      </c>
      <c r="C479" s="552" t="s">
        <v>45</v>
      </c>
      <c r="D479" s="18">
        <v>1</v>
      </c>
      <c r="E479" s="17" t="s">
        <v>531</v>
      </c>
    </row>
    <row r="480" spans="1:5" x14ac:dyDescent="0.2">
      <c r="A480" s="552" t="str">
        <f t="shared" si="11"/>
        <v>INDEC-PB - 2913-1</v>
      </c>
      <c r="B480" s="18">
        <v>2913</v>
      </c>
      <c r="C480" s="552" t="s">
        <v>45</v>
      </c>
      <c r="D480" s="18">
        <v>1</v>
      </c>
      <c r="E480" s="17" t="s">
        <v>532</v>
      </c>
    </row>
    <row r="481" spans="1:7" x14ac:dyDescent="0.2">
      <c r="A481" s="552" t="str">
        <f t="shared" si="11"/>
        <v>INDEC-PB - 2413-11</v>
      </c>
      <c r="B481" s="18">
        <v>2413</v>
      </c>
      <c r="C481" s="552" t="s">
        <v>45</v>
      </c>
      <c r="D481" s="18">
        <v>11</v>
      </c>
      <c r="E481" s="17" t="s">
        <v>533</v>
      </c>
    </row>
    <row r="482" spans="1:7" x14ac:dyDescent="0.2">
      <c r="A482" s="552" t="str">
        <f t="shared" si="11"/>
        <v>INDEC-PB - 2411-1</v>
      </c>
      <c r="B482" s="18">
        <v>2411</v>
      </c>
      <c r="C482" s="552" t="s">
        <v>45</v>
      </c>
      <c r="D482" s="18">
        <v>1</v>
      </c>
      <c r="E482" s="17" t="s">
        <v>534</v>
      </c>
    </row>
    <row r="485" spans="1:7" x14ac:dyDescent="0.2">
      <c r="A485" s="578"/>
      <c r="B485" s="550" t="s">
        <v>570</v>
      </c>
      <c r="C485" s="579"/>
      <c r="D485" s="579"/>
    </row>
    <row r="487" spans="1:7" x14ac:dyDescent="0.2">
      <c r="A487" s="554"/>
      <c r="B487" s="795" t="s">
        <v>261</v>
      </c>
      <c r="C487" s="554"/>
      <c r="D487" s="554"/>
      <c r="E487" s="795" t="s">
        <v>262</v>
      </c>
      <c r="F487" s="795" t="s">
        <v>263</v>
      </c>
      <c r="G487" s="795" t="s">
        <v>264</v>
      </c>
    </row>
    <row r="488" spans="1:7" x14ac:dyDescent="0.2">
      <c r="A488" s="554"/>
      <c r="B488" s="795"/>
      <c r="C488" s="554"/>
      <c r="D488" s="554"/>
      <c r="E488" s="795"/>
      <c r="F488" s="795" t="s">
        <v>265</v>
      </c>
      <c r="G488" s="795"/>
    </row>
    <row r="490" spans="1:7" x14ac:dyDescent="0.2">
      <c r="A490" s="552" t="str">
        <f t="shared" ref="A490:A500" si="12">CONCATENATE("INDEC-DCTO - Inciso ",B490)</f>
        <v>INDEC-DCTO - Inciso a)</v>
      </c>
      <c r="B490" s="552" t="s">
        <v>266</v>
      </c>
      <c r="E490" s="551" t="s">
        <v>267</v>
      </c>
      <c r="F490" s="552" t="s">
        <v>268</v>
      </c>
      <c r="G490" s="551" t="s">
        <v>269</v>
      </c>
    </row>
    <row r="491" spans="1:7" x14ac:dyDescent="0.2">
      <c r="A491" s="552" t="str">
        <f t="shared" si="12"/>
        <v>INDEC-DCTO - Inciso b)</v>
      </c>
      <c r="B491" s="552" t="s">
        <v>270</v>
      </c>
      <c r="E491" s="551" t="s">
        <v>271</v>
      </c>
      <c r="F491" s="552" t="s">
        <v>272</v>
      </c>
      <c r="G491" s="551" t="s">
        <v>273</v>
      </c>
    </row>
    <row r="492" spans="1:7" x14ac:dyDescent="0.2">
      <c r="A492" s="552" t="str">
        <f t="shared" si="12"/>
        <v>INDEC-DCTO - Inciso d)</v>
      </c>
      <c r="B492" s="552" t="s">
        <v>274</v>
      </c>
      <c r="E492" s="551" t="s">
        <v>275</v>
      </c>
      <c r="F492" s="552" t="s">
        <v>272</v>
      </c>
      <c r="G492" s="551" t="s">
        <v>276</v>
      </c>
    </row>
    <row r="493" spans="1:7" x14ac:dyDescent="0.2">
      <c r="A493" s="552" t="str">
        <f t="shared" si="12"/>
        <v>INDEC-DCTO - Inciso f)</v>
      </c>
      <c r="B493" s="552" t="s">
        <v>277</v>
      </c>
      <c r="E493" s="551" t="s">
        <v>278</v>
      </c>
      <c r="F493" s="552" t="s">
        <v>279</v>
      </c>
      <c r="G493" s="551" t="s">
        <v>280</v>
      </c>
    </row>
    <row r="494" spans="1:7" x14ac:dyDescent="0.2">
      <c r="A494" s="552" t="str">
        <f t="shared" si="12"/>
        <v>INDEC-DCTO - Inciso g)</v>
      </c>
      <c r="B494" s="552" t="s">
        <v>281</v>
      </c>
      <c r="E494" s="551" t="s">
        <v>282</v>
      </c>
      <c r="F494" s="552" t="s">
        <v>272</v>
      </c>
      <c r="G494" s="551" t="s">
        <v>283</v>
      </c>
    </row>
    <row r="495" spans="1:7" x14ac:dyDescent="0.2">
      <c r="A495" s="552" t="str">
        <f t="shared" si="12"/>
        <v>INDEC-DCTO - Inciso h)</v>
      </c>
      <c r="B495" s="552" t="s">
        <v>284</v>
      </c>
      <c r="E495" s="551" t="s">
        <v>285</v>
      </c>
      <c r="F495" s="552" t="s">
        <v>286</v>
      </c>
      <c r="G495" s="551" t="s">
        <v>287</v>
      </c>
    </row>
    <row r="496" spans="1:7" x14ac:dyDescent="0.2">
      <c r="A496" s="552" t="str">
        <f t="shared" si="12"/>
        <v>INDEC-DCTO - Inciso p)</v>
      </c>
      <c r="B496" s="552" t="s">
        <v>288</v>
      </c>
      <c r="E496" s="551" t="s">
        <v>289</v>
      </c>
      <c r="F496" s="552" t="s">
        <v>268</v>
      </c>
      <c r="G496" s="551" t="s">
        <v>290</v>
      </c>
    </row>
    <row r="497" spans="1:7" x14ac:dyDescent="0.2">
      <c r="A497" s="552" t="str">
        <f t="shared" si="12"/>
        <v>INDEC-DCTO - Inciso r)</v>
      </c>
      <c r="B497" s="552" t="s">
        <v>291</v>
      </c>
      <c r="E497" s="551" t="s">
        <v>292</v>
      </c>
      <c r="F497" s="552" t="s">
        <v>272</v>
      </c>
      <c r="G497" s="551" t="s">
        <v>293</v>
      </c>
    </row>
    <row r="498" spans="1:7" x14ac:dyDescent="0.2">
      <c r="A498" s="552" t="str">
        <f t="shared" si="12"/>
        <v>INDEC-DCTO - Inciso s)</v>
      </c>
      <c r="B498" s="552" t="s">
        <v>294</v>
      </c>
      <c r="E498" s="551" t="s">
        <v>295</v>
      </c>
      <c r="F498" s="552" t="s">
        <v>286</v>
      </c>
      <c r="G498" s="551" t="s">
        <v>165</v>
      </c>
    </row>
    <row r="499" spans="1:7" x14ac:dyDescent="0.2">
      <c r="A499" s="552" t="str">
        <f t="shared" si="12"/>
        <v>INDEC-DCTO - Inciso u)</v>
      </c>
      <c r="B499" s="552" t="s">
        <v>296</v>
      </c>
      <c r="E499" s="551" t="s">
        <v>297</v>
      </c>
      <c r="F499" s="552">
        <v>4324041</v>
      </c>
      <c r="G499" s="551" t="s">
        <v>188</v>
      </c>
    </row>
    <row r="500" spans="1:7" x14ac:dyDescent="0.2">
      <c r="A500" s="552" t="str">
        <f t="shared" si="12"/>
        <v>INDEC-DCTO - Inciso v)</v>
      </c>
      <c r="B500" s="552" t="s">
        <v>298</v>
      </c>
      <c r="E500" s="551" t="s">
        <v>299</v>
      </c>
      <c r="F500" s="552">
        <v>4322032</v>
      </c>
      <c r="G500" s="551" t="s">
        <v>133</v>
      </c>
    </row>
    <row r="501" spans="1:7" x14ac:dyDescent="0.2">
      <c r="A501" s="552"/>
      <c r="F501" s="552"/>
    </row>
    <row r="502" spans="1:7" x14ac:dyDescent="0.2">
      <c r="A502" s="552" t="str">
        <f>CONCATENATE("INDEC-DCTO - Inciso ",B502)</f>
        <v>INDEC-DCTO - Inciso c)</v>
      </c>
      <c r="B502" s="552" t="s">
        <v>300</v>
      </c>
      <c r="E502" s="551" t="s">
        <v>301</v>
      </c>
      <c r="F502" s="552"/>
      <c r="G502" s="551" t="s">
        <v>571</v>
      </c>
    </row>
    <row r="503" spans="1:7" x14ac:dyDescent="0.2">
      <c r="A503" s="552" t="str">
        <f>CONCATENATE("INDEC-DCTO - Inciso ",B503)</f>
        <v>INDEC-DCTO - Inciso m)</v>
      </c>
      <c r="B503" s="552" t="s">
        <v>302</v>
      </c>
      <c r="E503" s="551" t="s">
        <v>303</v>
      </c>
      <c r="F503" s="552"/>
      <c r="G503" s="551" t="s">
        <v>572</v>
      </c>
    </row>
    <row r="504" spans="1:7" x14ac:dyDescent="0.2">
      <c r="A504" s="552" t="str">
        <f>CONCATENATE("INDEC-DCTO - Inciso ",B504)</f>
        <v>INDEC-DCTO - Inciso n)</v>
      </c>
      <c r="B504" s="552" t="s">
        <v>304</v>
      </c>
      <c r="E504" s="551" t="s">
        <v>305</v>
      </c>
      <c r="F504" s="552"/>
      <c r="G504" s="551" t="s">
        <v>573</v>
      </c>
    </row>
    <row r="505" spans="1:7" x14ac:dyDescent="0.2">
      <c r="A505" s="552" t="str">
        <f>CONCATENATE("INDEC-DCTO - Inciso ",B505)</f>
        <v>INDEC-DCTO - Inciso q)</v>
      </c>
      <c r="B505" s="552" t="s">
        <v>306</v>
      </c>
      <c r="E505" s="551" t="s">
        <v>307</v>
      </c>
      <c r="F505" s="552"/>
      <c r="G505" s="551" t="s">
        <v>574</v>
      </c>
    </row>
    <row r="508" spans="1:7" x14ac:dyDescent="0.2">
      <c r="B508" s="550" t="s">
        <v>575</v>
      </c>
    </row>
    <row r="511" spans="1:7" x14ac:dyDescent="0.2">
      <c r="A511" s="554"/>
      <c r="B511" s="795" t="s">
        <v>261</v>
      </c>
      <c r="C511" s="554"/>
      <c r="D511" s="554"/>
      <c r="E511" s="795" t="s">
        <v>262</v>
      </c>
      <c r="F511" s="795" t="s">
        <v>263</v>
      </c>
      <c r="G511" s="795" t="s">
        <v>264</v>
      </c>
    </row>
    <row r="512" spans="1:7" x14ac:dyDescent="0.2">
      <c r="A512" s="554"/>
      <c r="B512" s="795"/>
      <c r="C512" s="554"/>
      <c r="D512" s="554"/>
      <c r="E512" s="795"/>
      <c r="F512" s="795" t="s">
        <v>265</v>
      </c>
      <c r="G512" s="795"/>
    </row>
    <row r="513" spans="1:7" x14ac:dyDescent="0.2">
      <c r="A513" s="17"/>
      <c r="B513" s="16"/>
      <c r="C513" s="16"/>
      <c r="D513" s="16"/>
      <c r="E513" s="17"/>
      <c r="F513" s="17"/>
      <c r="G513" s="17"/>
    </row>
    <row r="514" spans="1:7" x14ac:dyDescent="0.2">
      <c r="A514" s="17"/>
      <c r="B514" s="16"/>
      <c r="C514" s="16"/>
      <c r="D514" s="16"/>
      <c r="E514" s="567" t="s">
        <v>507</v>
      </c>
      <c r="F514" s="17"/>
      <c r="G514" s="17"/>
    </row>
    <row r="515" spans="1:7" x14ac:dyDescent="0.2">
      <c r="A515" s="552" t="str">
        <f>CONCATENATE("INDEC-DCTO - Inciso ",B515)</f>
        <v>INDEC-DCTO - Inciso e)</v>
      </c>
      <c r="B515" s="552" t="s">
        <v>564</v>
      </c>
      <c r="C515" s="16"/>
      <c r="D515" s="16"/>
      <c r="E515" s="17" t="s">
        <v>546</v>
      </c>
      <c r="F515" s="16" t="s">
        <v>547</v>
      </c>
      <c r="G515" s="17" t="s">
        <v>548</v>
      </c>
    </row>
    <row r="516" spans="1:7" x14ac:dyDescent="0.2">
      <c r="A516" s="552" t="str">
        <f>CONCATENATE("INDEC-DCTO - Inciso ",B516)</f>
        <v>INDEC-DCTO - Inciso i)</v>
      </c>
      <c r="B516" s="552" t="s">
        <v>565</v>
      </c>
      <c r="C516" s="16"/>
      <c r="D516" s="16"/>
      <c r="E516" s="17" t="s">
        <v>549</v>
      </c>
      <c r="F516" s="16" t="s">
        <v>550</v>
      </c>
      <c r="G516" s="17" t="s">
        <v>551</v>
      </c>
    </row>
    <row r="517" spans="1:7" x14ac:dyDescent="0.2">
      <c r="A517" s="552" t="str">
        <f>CONCATENATE("INDEC-DCTO - Inciso ",B517)</f>
        <v>INDEC-DCTO - Inciso k)</v>
      </c>
      <c r="B517" s="552" t="s">
        <v>566</v>
      </c>
      <c r="C517" s="16"/>
      <c r="D517" s="16"/>
      <c r="E517" s="17" t="s">
        <v>552</v>
      </c>
      <c r="F517" s="16" t="s">
        <v>553</v>
      </c>
      <c r="G517" s="17" t="s">
        <v>554</v>
      </c>
    </row>
    <row r="518" spans="1:7" x14ac:dyDescent="0.2">
      <c r="A518" s="552" t="str">
        <f>CONCATENATE("INDEC-DCTO - Inciso ",B518)</f>
        <v>INDEC-DCTO - Inciso t)</v>
      </c>
      <c r="B518" s="552" t="s">
        <v>567</v>
      </c>
      <c r="C518" s="16"/>
      <c r="D518" s="16"/>
      <c r="E518" s="17" t="s">
        <v>555</v>
      </c>
      <c r="F518" s="16" t="s">
        <v>556</v>
      </c>
      <c r="G518" s="17" t="s">
        <v>557</v>
      </c>
    </row>
    <row r="519" spans="1:7" x14ac:dyDescent="0.2">
      <c r="A519" s="552" t="str">
        <f>CONCATENATE("INDEC-DCTO - Inciso ",B519)</f>
        <v>INDEC-DCTO - Inciso w)</v>
      </c>
      <c r="B519" s="552"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7" t="s">
        <v>484</v>
      </c>
      <c r="F521" s="16"/>
      <c r="G521" s="17"/>
    </row>
    <row r="522" spans="1:7" x14ac:dyDescent="0.2">
      <c r="A522" s="552" t="str">
        <f>CONCATENATE("INDEC-DCTO - Inciso ",B522)</f>
        <v>INDEC-DCTO - Inciso j)</v>
      </c>
      <c r="B522" s="552"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308</v>
      </c>
      <c r="C528" s="550"/>
      <c r="D528" s="550"/>
    </row>
    <row r="530" spans="1:5" x14ac:dyDescent="0.2">
      <c r="A530" s="795" t="s">
        <v>343</v>
      </c>
      <c r="B530" s="795" t="s">
        <v>42</v>
      </c>
      <c r="C530" s="795"/>
      <c r="D530" s="795"/>
      <c r="E530" s="795" t="s">
        <v>43</v>
      </c>
    </row>
    <row r="531" spans="1:5" x14ac:dyDescent="0.2">
      <c r="A531" s="795"/>
      <c r="B531" s="795" t="s">
        <v>44</v>
      </c>
      <c r="C531" s="795"/>
      <c r="D531" s="795"/>
      <c r="E531" s="795"/>
    </row>
    <row r="532" spans="1:5" x14ac:dyDescent="0.2">
      <c r="A532" s="552" t="str">
        <f t="shared" ref="A532:A553" si="13">CONCATENATE("INDEC-GG ",B532,C532,D532)</f>
        <v>INDEC-GG 18000-1</v>
      </c>
      <c r="B532" s="552">
        <v>18000</v>
      </c>
      <c r="C532" s="552" t="s">
        <v>45</v>
      </c>
      <c r="D532" s="552">
        <v>1</v>
      </c>
      <c r="E532" s="555" t="s">
        <v>309</v>
      </c>
    </row>
    <row r="533" spans="1:5" x14ac:dyDescent="0.2">
      <c r="A533" s="552" t="str">
        <f t="shared" si="13"/>
        <v>INDEC-GG 83107-1</v>
      </c>
      <c r="B533" s="552">
        <v>83107</v>
      </c>
      <c r="C533" s="552" t="s">
        <v>45</v>
      </c>
      <c r="D533" s="552">
        <v>1</v>
      </c>
      <c r="E533" s="555" t="s">
        <v>310</v>
      </c>
    </row>
    <row r="534" spans="1:5" x14ac:dyDescent="0.2">
      <c r="A534" s="552" t="str">
        <f t="shared" si="13"/>
        <v>INDEC-GG 71240-11</v>
      </c>
      <c r="B534" s="552">
        <v>71240</v>
      </c>
      <c r="C534" s="552" t="s">
        <v>45</v>
      </c>
      <c r="D534" s="552">
        <v>11</v>
      </c>
      <c r="E534" s="556" t="s">
        <v>311</v>
      </c>
    </row>
    <row r="535" spans="1:5" x14ac:dyDescent="0.2">
      <c r="A535" s="552" t="str">
        <f t="shared" si="13"/>
        <v>INDEC-GG 71233-11</v>
      </c>
      <c r="B535" s="552">
        <v>71233</v>
      </c>
      <c r="C535" s="552" t="s">
        <v>45</v>
      </c>
      <c r="D535" s="552">
        <v>11</v>
      </c>
      <c r="E535" s="556" t="s">
        <v>312</v>
      </c>
    </row>
    <row r="536" spans="1:5" x14ac:dyDescent="0.2">
      <c r="A536" s="552" t="str">
        <f t="shared" si="13"/>
        <v>INDEC-GG 51800-11</v>
      </c>
      <c r="B536" s="552">
        <v>51800</v>
      </c>
      <c r="C536" s="552" t="s">
        <v>45</v>
      </c>
      <c r="D536" s="552">
        <v>11</v>
      </c>
      <c r="E536" s="556" t="s">
        <v>313</v>
      </c>
    </row>
    <row r="537" spans="1:5" x14ac:dyDescent="0.2">
      <c r="A537" s="552" t="str">
        <f t="shared" si="13"/>
        <v>INDEC-GG 51800-21</v>
      </c>
      <c r="B537" s="552">
        <v>51800</v>
      </c>
      <c r="C537" s="552" t="s">
        <v>45</v>
      </c>
      <c r="D537" s="552">
        <v>21</v>
      </c>
      <c r="E537" s="555" t="s">
        <v>314</v>
      </c>
    </row>
    <row r="538" spans="1:5" x14ac:dyDescent="0.2">
      <c r="A538" s="552" t="str">
        <f t="shared" si="13"/>
        <v>INDEC-GG 74110-11</v>
      </c>
      <c r="B538" s="552">
        <v>74110</v>
      </c>
      <c r="C538" s="552" t="s">
        <v>45</v>
      </c>
      <c r="D538" s="552">
        <v>11</v>
      </c>
      <c r="E538" s="556" t="s">
        <v>315</v>
      </c>
    </row>
    <row r="539" spans="1:5" x14ac:dyDescent="0.2">
      <c r="A539" s="552" t="str">
        <f t="shared" si="13"/>
        <v>INDEC-GG 51560-31</v>
      </c>
      <c r="B539" s="552">
        <v>51560</v>
      </c>
      <c r="C539" s="552" t="s">
        <v>45</v>
      </c>
      <c r="D539" s="552">
        <v>31</v>
      </c>
      <c r="E539" s="555" t="s">
        <v>316</v>
      </c>
    </row>
    <row r="540" spans="1:5" x14ac:dyDescent="0.2">
      <c r="A540" s="552" t="str">
        <f t="shared" si="13"/>
        <v>INDEC-GG 53111-1</v>
      </c>
      <c r="B540" s="552">
        <v>53111</v>
      </c>
      <c r="C540" s="552" t="s">
        <v>45</v>
      </c>
      <c r="D540" s="552">
        <v>1</v>
      </c>
      <c r="E540" s="556" t="s">
        <v>317</v>
      </c>
    </row>
    <row r="541" spans="1:5" x14ac:dyDescent="0.2">
      <c r="A541" s="552" t="str">
        <f t="shared" si="13"/>
        <v>INDEC-GG 54400-1</v>
      </c>
      <c r="B541" s="552">
        <v>54400</v>
      </c>
      <c r="C541" s="552" t="s">
        <v>45</v>
      </c>
      <c r="D541" s="552">
        <v>1</v>
      </c>
      <c r="E541" s="556" t="s">
        <v>318</v>
      </c>
    </row>
    <row r="542" spans="1:5" x14ac:dyDescent="0.2">
      <c r="A542" s="552" t="str">
        <f t="shared" si="13"/>
        <v>INDEC-GG 18000-21</v>
      </c>
      <c r="B542" s="552">
        <v>18000</v>
      </c>
      <c r="C542" s="552" t="s">
        <v>45</v>
      </c>
      <c r="D542" s="552">
        <v>21</v>
      </c>
      <c r="E542" s="556" t="s">
        <v>319</v>
      </c>
    </row>
    <row r="543" spans="1:5" x14ac:dyDescent="0.2">
      <c r="A543" s="552" t="str">
        <f t="shared" si="13"/>
        <v>INDEC-GG 18000-22</v>
      </c>
      <c r="B543" s="552">
        <v>18000</v>
      </c>
      <c r="C543" s="552" t="s">
        <v>45</v>
      </c>
      <c r="D543" s="552">
        <v>22</v>
      </c>
      <c r="E543" s="556" t="s">
        <v>320</v>
      </c>
    </row>
    <row r="544" spans="1:5" x14ac:dyDescent="0.2">
      <c r="A544" s="552" t="str">
        <f t="shared" si="13"/>
        <v>INDEC-GG 88700-2</v>
      </c>
      <c r="B544" s="552">
        <v>88700</v>
      </c>
      <c r="C544" s="552" t="s">
        <v>45</v>
      </c>
      <c r="D544" s="552">
        <v>2</v>
      </c>
      <c r="E544" s="556" t="s">
        <v>321</v>
      </c>
    </row>
    <row r="545" spans="1:5" x14ac:dyDescent="0.2">
      <c r="A545" s="552" t="str">
        <f t="shared" si="13"/>
        <v>INDEC-GG 88700-31</v>
      </c>
      <c r="B545" s="552">
        <v>88700</v>
      </c>
      <c r="C545" s="552" t="s">
        <v>45</v>
      </c>
      <c r="D545" s="552">
        <v>31</v>
      </c>
      <c r="E545" s="555" t="s">
        <v>322</v>
      </c>
    </row>
    <row r="546" spans="1:5" x14ac:dyDescent="0.2">
      <c r="A546" s="552" t="str">
        <f t="shared" si="13"/>
        <v>INDEC-GG DEP-EQ</v>
      </c>
      <c r="B546" s="552" t="s">
        <v>934</v>
      </c>
      <c r="E546" s="555" t="s">
        <v>323</v>
      </c>
    </row>
    <row r="547" spans="1:5" x14ac:dyDescent="0.2">
      <c r="A547" s="552" t="str">
        <f t="shared" si="13"/>
        <v>INDEC-GG 88700-1</v>
      </c>
      <c r="B547" s="552">
        <v>88700</v>
      </c>
      <c r="C547" s="552" t="s">
        <v>45</v>
      </c>
      <c r="D547" s="552">
        <v>1</v>
      </c>
      <c r="E547" s="555" t="s">
        <v>324</v>
      </c>
    </row>
    <row r="548" spans="1:5" x14ac:dyDescent="0.2">
      <c r="A548" s="552" t="str">
        <f t="shared" si="13"/>
        <v>INDEC-GG 31210-11</v>
      </c>
      <c r="B548" s="552">
        <v>31210</v>
      </c>
      <c r="C548" s="552" t="s">
        <v>45</v>
      </c>
      <c r="D548" s="552">
        <v>11</v>
      </c>
      <c r="E548" s="555" t="s">
        <v>325</v>
      </c>
    </row>
    <row r="549" spans="1:5" x14ac:dyDescent="0.2">
      <c r="A549" s="552" t="str">
        <f t="shared" si="13"/>
        <v>INDEC-GG 81295-1</v>
      </c>
      <c r="B549" s="552">
        <v>81295</v>
      </c>
      <c r="C549" s="552" t="s">
        <v>45</v>
      </c>
      <c r="D549" s="552">
        <v>1</v>
      </c>
      <c r="E549" s="555" t="s">
        <v>326</v>
      </c>
    </row>
    <row r="550" spans="1:5" x14ac:dyDescent="0.2">
      <c r="A550" s="552" t="str">
        <f t="shared" si="13"/>
        <v>INDEC-GG 81297-1</v>
      </c>
      <c r="B550" s="552">
        <v>81297</v>
      </c>
      <c r="C550" s="552" t="s">
        <v>45</v>
      </c>
      <c r="D550" s="552">
        <v>1</v>
      </c>
      <c r="E550" s="556" t="s">
        <v>327</v>
      </c>
    </row>
    <row r="551" spans="1:5" x14ac:dyDescent="0.2">
      <c r="A551" s="552" t="str">
        <f t="shared" si="13"/>
        <v>INDEC-GG 51560-21</v>
      </c>
      <c r="B551" s="552">
        <v>51560</v>
      </c>
      <c r="C551" s="552" t="s">
        <v>45</v>
      </c>
      <c r="D551" s="552">
        <v>21</v>
      </c>
      <c r="E551" s="555" t="s">
        <v>328</v>
      </c>
    </row>
    <row r="552" spans="1:5" x14ac:dyDescent="0.2">
      <c r="A552" s="552" t="str">
        <f t="shared" si="13"/>
        <v>INDEC-GG 31100-11</v>
      </c>
      <c r="B552" s="552">
        <v>31100</v>
      </c>
      <c r="C552" s="552" t="s">
        <v>45</v>
      </c>
      <c r="D552" s="552">
        <v>11</v>
      </c>
      <c r="E552" s="555" t="s">
        <v>329</v>
      </c>
    </row>
    <row r="553" spans="1:5" x14ac:dyDescent="0.2">
      <c r="A553" s="552" t="str">
        <f t="shared" si="13"/>
        <v>INDEC-GG 53211-11</v>
      </c>
      <c r="B553" s="552">
        <v>53211</v>
      </c>
      <c r="C553" s="552" t="s">
        <v>45</v>
      </c>
      <c r="D553" s="552">
        <v>11</v>
      </c>
      <c r="E553" s="556" t="s">
        <v>330</v>
      </c>
    </row>
    <row r="556" spans="1:5" x14ac:dyDescent="0.2">
      <c r="B556" s="550" t="s">
        <v>718</v>
      </c>
    </row>
    <row r="557" spans="1:5" x14ac:dyDescent="0.2">
      <c r="B557" s="550" t="s">
        <v>719</v>
      </c>
    </row>
    <row r="559" spans="1:5" x14ac:dyDescent="0.2">
      <c r="A559" s="552" t="str">
        <f t="shared" ref="A559:A622" si="14">CONCATENATE("DNV-T I - ",B559)</f>
        <v>DNV-T I - 1</v>
      </c>
      <c r="B559" s="552">
        <v>1</v>
      </c>
      <c r="E559" s="551" t="s">
        <v>267</v>
      </c>
    </row>
    <row r="560" spans="1:5" x14ac:dyDescent="0.2">
      <c r="A560" s="552" t="str">
        <f t="shared" si="14"/>
        <v>DNV-T I - 2</v>
      </c>
      <c r="B560" s="552">
        <v>2</v>
      </c>
      <c r="E560" s="551" t="s">
        <v>720</v>
      </c>
    </row>
    <row r="561" spans="1:5" x14ac:dyDescent="0.2">
      <c r="A561" s="552" t="str">
        <f t="shared" si="14"/>
        <v>DNV-T I - 3</v>
      </c>
      <c r="B561" s="552">
        <v>3</v>
      </c>
      <c r="E561" s="551" t="s">
        <v>721</v>
      </c>
    </row>
    <row r="562" spans="1:5" x14ac:dyDescent="0.2">
      <c r="A562" s="552" t="str">
        <f t="shared" si="14"/>
        <v>DNV-T I - 4</v>
      </c>
      <c r="B562" s="552">
        <v>4</v>
      </c>
      <c r="E562" s="551" t="s">
        <v>722</v>
      </c>
    </row>
    <row r="563" spans="1:5" x14ac:dyDescent="0.2">
      <c r="A563" s="552" t="str">
        <f t="shared" si="14"/>
        <v>DNV-T I - 5</v>
      </c>
      <c r="B563" s="552">
        <v>5</v>
      </c>
      <c r="E563" s="551" t="s">
        <v>723</v>
      </c>
    </row>
    <row r="564" spans="1:5" x14ac:dyDescent="0.2">
      <c r="A564" s="552" t="str">
        <f t="shared" si="14"/>
        <v>DNV-T I - 6</v>
      </c>
      <c r="B564" s="552">
        <v>6</v>
      </c>
      <c r="E564" s="551" t="s">
        <v>724</v>
      </c>
    </row>
    <row r="565" spans="1:5" x14ac:dyDescent="0.2">
      <c r="A565" s="552" t="str">
        <f t="shared" si="14"/>
        <v>DNV-T I - 7</v>
      </c>
      <c r="B565" s="552">
        <v>7</v>
      </c>
      <c r="E565" s="551" t="s">
        <v>725</v>
      </c>
    </row>
    <row r="566" spans="1:5" x14ac:dyDescent="0.2">
      <c r="A566" s="552" t="str">
        <f t="shared" si="14"/>
        <v>DNV-T I - 8</v>
      </c>
      <c r="B566" s="552">
        <v>8</v>
      </c>
      <c r="E566" s="551" t="s">
        <v>726</v>
      </c>
    </row>
    <row r="567" spans="1:5" x14ac:dyDescent="0.2">
      <c r="A567" s="552" t="str">
        <f t="shared" si="14"/>
        <v>DNV-T I - 9</v>
      </c>
      <c r="B567" s="552">
        <v>9</v>
      </c>
      <c r="E567" s="551" t="s">
        <v>727</v>
      </c>
    </row>
    <row r="568" spans="1:5" x14ac:dyDescent="0.2">
      <c r="A568" s="552" t="str">
        <f t="shared" si="14"/>
        <v>DNV-T I - 10</v>
      </c>
      <c r="B568" s="552">
        <v>10</v>
      </c>
      <c r="E568" s="551" t="s">
        <v>728</v>
      </c>
    </row>
    <row r="569" spans="1:5" x14ac:dyDescent="0.2">
      <c r="A569" s="552" t="str">
        <f t="shared" si="14"/>
        <v>DNV-T I - 11</v>
      </c>
      <c r="B569" s="552">
        <v>11</v>
      </c>
      <c r="E569" s="551" t="s">
        <v>729</v>
      </c>
    </row>
    <row r="570" spans="1:5" x14ac:dyDescent="0.2">
      <c r="A570" s="552" t="str">
        <f t="shared" si="14"/>
        <v>DNV-T I - 12</v>
      </c>
      <c r="B570" s="552">
        <v>12</v>
      </c>
      <c r="E570" s="551" t="s">
        <v>730</v>
      </c>
    </row>
    <row r="571" spans="1:5" x14ac:dyDescent="0.2">
      <c r="A571" s="552" t="str">
        <f t="shared" si="14"/>
        <v>DNV-T I - 13</v>
      </c>
      <c r="B571" s="552">
        <v>13</v>
      </c>
      <c r="E571" s="551" t="s">
        <v>731</v>
      </c>
    </row>
    <row r="572" spans="1:5" x14ac:dyDescent="0.2">
      <c r="A572" s="552" t="str">
        <f t="shared" si="14"/>
        <v>DNV-T I - 14</v>
      </c>
      <c r="B572" s="552">
        <v>14</v>
      </c>
      <c r="E572" s="551" t="s">
        <v>732</v>
      </c>
    </row>
    <row r="573" spans="1:5" x14ac:dyDescent="0.2">
      <c r="A573" s="552" t="str">
        <f t="shared" si="14"/>
        <v>DNV-T I - 15</v>
      </c>
      <c r="B573" s="552">
        <v>15</v>
      </c>
      <c r="E573" s="551" t="s">
        <v>733</v>
      </c>
    </row>
    <row r="574" spans="1:5" x14ac:dyDescent="0.2">
      <c r="A574" s="552" t="str">
        <f t="shared" si="14"/>
        <v>DNV-T I - 16</v>
      </c>
      <c r="B574" s="552">
        <v>16</v>
      </c>
      <c r="E574" s="551" t="s">
        <v>734</v>
      </c>
    </row>
    <row r="575" spans="1:5" x14ac:dyDescent="0.2">
      <c r="A575" s="552" t="str">
        <f t="shared" si="14"/>
        <v>DNV-T I - 17</v>
      </c>
      <c r="B575" s="552">
        <v>17</v>
      </c>
      <c r="E575" s="551" t="s">
        <v>735</v>
      </c>
    </row>
    <row r="576" spans="1:5" x14ac:dyDescent="0.2">
      <c r="A576" s="552" t="str">
        <f t="shared" si="14"/>
        <v>DNV-T I - 18</v>
      </c>
      <c r="B576" s="552">
        <v>18</v>
      </c>
      <c r="E576" s="551" t="s">
        <v>736</v>
      </c>
    </row>
    <row r="577" spans="1:5" x14ac:dyDescent="0.2">
      <c r="A577" s="552" t="str">
        <f t="shared" si="14"/>
        <v>DNV-T I - 19</v>
      </c>
      <c r="B577" s="552">
        <v>19</v>
      </c>
      <c r="E577" s="551" t="s">
        <v>737</v>
      </c>
    </row>
    <row r="578" spans="1:5" x14ac:dyDescent="0.2">
      <c r="A578" s="552" t="str">
        <f t="shared" si="14"/>
        <v>DNV-T I - 20</v>
      </c>
      <c r="B578" s="552">
        <v>20</v>
      </c>
      <c r="E578" s="551" t="s">
        <v>738</v>
      </c>
    </row>
    <row r="579" spans="1:5" x14ac:dyDescent="0.2">
      <c r="A579" s="552" t="str">
        <f t="shared" si="14"/>
        <v>DNV-T I - 21</v>
      </c>
      <c r="B579" s="552">
        <v>21</v>
      </c>
      <c r="E579" s="551" t="s">
        <v>739</v>
      </c>
    </row>
    <row r="580" spans="1:5" x14ac:dyDescent="0.2">
      <c r="A580" s="552" t="str">
        <f t="shared" si="14"/>
        <v>DNV-T I - 22</v>
      </c>
      <c r="B580" s="552">
        <v>22</v>
      </c>
      <c r="E580" s="551" t="s">
        <v>740</v>
      </c>
    </row>
    <row r="581" spans="1:5" x14ac:dyDescent="0.2">
      <c r="A581" s="552" t="str">
        <f t="shared" si="14"/>
        <v>DNV-T I - 23</v>
      </c>
      <c r="B581" s="552">
        <v>23</v>
      </c>
      <c r="E581" s="551" t="s">
        <v>741</v>
      </c>
    </row>
    <row r="582" spans="1:5" x14ac:dyDescent="0.2">
      <c r="A582" s="552" t="str">
        <f t="shared" si="14"/>
        <v>DNV-T I - 24</v>
      </c>
      <c r="B582" s="552">
        <v>24</v>
      </c>
      <c r="E582" s="551" t="s">
        <v>742</v>
      </c>
    </row>
    <row r="583" spans="1:5" x14ac:dyDescent="0.2">
      <c r="A583" s="552" t="str">
        <f t="shared" si="14"/>
        <v>DNV-T I - 25</v>
      </c>
      <c r="B583" s="552">
        <v>25</v>
      </c>
      <c r="E583" s="551" t="s">
        <v>743</v>
      </c>
    </row>
    <row r="584" spans="1:5" x14ac:dyDescent="0.2">
      <c r="A584" s="552" t="str">
        <f t="shared" si="14"/>
        <v>DNV-T I - 26</v>
      </c>
      <c r="B584" s="552">
        <v>26</v>
      </c>
      <c r="E584" s="551" t="s">
        <v>744</v>
      </c>
    </row>
    <row r="585" spans="1:5" x14ac:dyDescent="0.2">
      <c r="A585" s="552" t="str">
        <f t="shared" si="14"/>
        <v>DNV-T I - 27</v>
      </c>
      <c r="B585" s="552">
        <v>27</v>
      </c>
      <c r="E585" s="551" t="s">
        <v>745</v>
      </c>
    </row>
    <row r="586" spans="1:5" x14ac:dyDescent="0.2">
      <c r="A586" s="552" t="str">
        <f t="shared" si="14"/>
        <v>DNV-T I - 28</v>
      </c>
      <c r="B586" s="552">
        <v>28</v>
      </c>
      <c r="E586" s="551" t="s">
        <v>746</v>
      </c>
    </row>
    <row r="587" spans="1:5" x14ac:dyDescent="0.2">
      <c r="A587" s="552" t="str">
        <f t="shared" si="14"/>
        <v>DNV-T I - 29</v>
      </c>
      <c r="B587" s="552">
        <v>29</v>
      </c>
      <c r="E587" s="551" t="s">
        <v>747</v>
      </c>
    </row>
    <row r="588" spans="1:5" x14ac:dyDescent="0.2">
      <c r="A588" s="552" t="str">
        <f t="shared" si="14"/>
        <v>DNV-T I - 30</v>
      </c>
      <c r="B588" s="552">
        <v>30</v>
      </c>
      <c r="E588" s="551" t="s">
        <v>748</v>
      </c>
    </row>
    <row r="589" spans="1:5" x14ac:dyDescent="0.2">
      <c r="A589" s="552" t="str">
        <f t="shared" si="14"/>
        <v>DNV-T I - 31</v>
      </c>
      <c r="B589" s="552">
        <v>31</v>
      </c>
      <c r="E589" s="551" t="s">
        <v>749</v>
      </c>
    </row>
    <row r="590" spans="1:5" x14ac:dyDescent="0.2">
      <c r="A590" s="552" t="str">
        <f t="shared" si="14"/>
        <v>DNV-T I - 32</v>
      </c>
      <c r="B590" s="552">
        <v>32</v>
      </c>
      <c r="E590" s="551" t="s">
        <v>750</v>
      </c>
    </row>
    <row r="591" spans="1:5" x14ac:dyDescent="0.2">
      <c r="A591" s="552" t="str">
        <f t="shared" si="14"/>
        <v>DNV-T I - 33</v>
      </c>
      <c r="B591" s="552">
        <v>33</v>
      </c>
      <c r="E591" s="551" t="s">
        <v>751</v>
      </c>
    </row>
    <row r="592" spans="1:5" x14ac:dyDescent="0.2">
      <c r="A592" s="552" t="str">
        <f t="shared" si="14"/>
        <v>DNV-T I - 34</v>
      </c>
      <c r="B592" s="552">
        <v>34</v>
      </c>
      <c r="E592" s="551" t="s">
        <v>752</v>
      </c>
    </row>
    <row r="593" spans="1:5" x14ac:dyDescent="0.2">
      <c r="A593" s="552" t="str">
        <f t="shared" si="14"/>
        <v>DNV-T I - 35</v>
      </c>
      <c r="B593" s="552">
        <v>35</v>
      </c>
      <c r="E593" s="551" t="s">
        <v>753</v>
      </c>
    </row>
    <row r="594" spans="1:5" x14ac:dyDescent="0.2">
      <c r="A594" s="552" t="str">
        <f t="shared" si="14"/>
        <v>DNV-T I - 36</v>
      </c>
      <c r="B594" s="552">
        <v>36</v>
      </c>
      <c r="E594" s="551" t="s">
        <v>754</v>
      </c>
    </row>
    <row r="595" spans="1:5" x14ac:dyDescent="0.2">
      <c r="A595" s="552" t="str">
        <f t="shared" si="14"/>
        <v>DNV-T I - 37</v>
      </c>
      <c r="B595" s="552">
        <v>37</v>
      </c>
      <c r="E595" s="551" t="s">
        <v>755</v>
      </c>
    </row>
    <row r="596" spans="1:5" x14ac:dyDescent="0.2">
      <c r="A596" s="552" t="str">
        <f t="shared" si="14"/>
        <v>DNV-T I - 38</v>
      </c>
      <c r="B596" s="552">
        <v>38</v>
      </c>
      <c r="E596" s="551" t="s">
        <v>756</v>
      </c>
    </row>
    <row r="597" spans="1:5" x14ac:dyDescent="0.2">
      <c r="A597" s="552" t="str">
        <f t="shared" si="14"/>
        <v>DNV-T I - 39</v>
      </c>
      <c r="B597" s="552">
        <v>39</v>
      </c>
      <c r="E597" s="551" t="s">
        <v>757</v>
      </c>
    </row>
    <row r="598" spans="1:5" x14ac:dyDescent="0.2">
      <c r="A598" s="552" t="str">
        <f t="shared" si="14"/>
        <v>DNV-T I - 40</v>
      </c>
      <c r="B598" s="552">
        <v>40</v>
      </c>
      <c r="E598" s="551" t="s">
        <v>758</v>
      </c>
    </row>
    <row r="599" spans="1:5" x14ac:dyDescent="0.2">
      <c r="A599" s="552" t="str">
        <f t="shared" si="14"/>
        <v>DNV-T I - 41</v>
      </c>
      <c r="B599" s="552">
        <v>41</v>
      </c>
      <c r="E599" s="551" t="s">
        <v>759</v>
      </c>
    </row>
    <row r="600" spans="1:5" x14ac:dyDescent="0.2">
      <c r="A600" s="552" t="str">
        <f t="shared" si="14"/>
        <v>DNV-T I - 42</v>
      </c>
      <c r="B600" s="552">
        <v>42</v>
      </c>
      <c r="E600" s="551" t="s">
        <v>760</v>
      </c>
    </row>
    <row r="601" spans="1:5" x14ac:dyDescent="0.2">
      <c r="A601" s="552" t="str">
        <f t="shared" si="14"/>
        <v>DNV-T I - 43</v>
      </c>
      <c r="B601" s="552">
        <v>43</v>
      </c>
      <c r="E601" s="551" t="s">
        <v>761</v>
      </c>
    </row>
    <row r="602" spans="1:5" x14ac:dyDescent="0.2">
      <c r="A602" s="552" t="str">
        <f t="shared" si="14"/>
        <v>DNV-T I - 44</v>
      </c>
      <c r="B602" s="552">
        <v>44</v>
      </c>
      <c r="E602" s="551" t="s">
        <v>762</v>
      </c>
    </row>
    <row r="603" spans="1:5" x14ac:dyDescent="0.2">
      <c r="A603" s="552" t="str">
        <f t="shared" si="14"/>
        <v>DNV-T I - 45</v>
      </c>
      <c r="B603" s="552">
        <v>45</v>
      </c>
      <c r="E603" s="551" t="s">
        <v>763</v>
      </c>
    </row>
    <row r="604" spans="1:5" x14ac:dyDescent="0.2">
      <c r="A604" s="552" t="str">
        <f t="shared" si="14"/>
        <v>DNV-T I - 46</v>
      </c>
      <c r="B604" s="552">
        <v>46</v>
      </c>
      <c r="E604" s="551" t="s">
        <v>764</v>
      </c>
    </row>
    <row r="605" spans="1:5" x14ac:dyDescent="0.2">
      <c r="A605" s="552" t="str">
        <f t="shared" si="14"/>
        <v>DNV-T I - 47</v>
      </c>
      <c r="B605" s="552">
        <v>47</v>
      </c>
      <c r="E605" s="551" t="s">
        <v>765</v>
      </c>
    </row>
    <row r="606" spans="1:5" x14ac:dyDescent="0.2">
      <c r="A606" s="552" t="str">
        <f t="shared" si="14"/>
        <v>DNV-T I - 48</v>
      </c>
      <c r="B606" s="552">
        <v>48</v>
      </c>
      <c r="E606" s="551" t="s">
        <v>766</v>
      </c>
    </row>
    <row r="607" spans="1:5" x14ac:dyDescent="0.2">
      <c r="A607" s="552" t="str">
        <f t="shared" si="14"/>
        <v>DNV-T I - 49</v>
      </c>
      <c r="B607" s="552">
        <v>49</v>
      </c>
      <c r="E607" s="551" t="s">
        <v>767</v>
      </c>
    </row>
    <row r="608" spans="1:5" x14ac:dyDescent="0.2">
      <c r="A608" s="552" t="str">
        <f t="shared" si="14"/>
        <v>DNV-T I - 50</v>
      </c>
      <c r="B608" s="552">
        <v>50</v>
      </c>
      <c r="E608" s="551" t="s">
        <v>768</v>
      </c>
    </row>
    <row r="609" spans="1:5" x14ac:dyDescent="0.2">
      <c r="A609" s="552" t="str">
        <f t="shared" si="14"/>
        <v>DNV-T I - 51</v>
      </c>
      <c r="B609" s="552">
        <v>51</v>
      </c>
      <c r="E609" s="551" t="s">
        <v>769</v>
      </c>
    </row>
    <row r="610" spans="1:5" x14ac:dyDescent="0.2">
      <c r="A610" s="552" t="str">
        <f t="shared" si="14"/>
        <v>DNV-T I - 52</v>
      </c>
      <c r="B610" s="552">
        <v>52</v>
      </c>
      <c r="E610" s="551" t="s">
        <v>770</v>
      </c>
    </row>
    <row r="611" spans="1:5" x14ac:dyDescent="0.2">
      <c r="A611" s="552" t="str">
        <f t="shared" si="14"/>
        <v>DNV-T I - 53</v>
      </c>
      <c r="B611" s="552">
        <v>53</v>
      </c>
      <c r="E611" s="551" t="s">
        <v>771</v>
      </c>
    </row>
    <row r="612" spans="1:5" x14ac:dyDescent="0.2">
      <c r="A612" s="552" t="str">
        <f t="shared" si="14"/>
        <v>DNV-T I - 54</v>
      </c>
      <c r="B612" s="552">
        <v>54</v>
      </c>
      <c r="E612" s="551" t="s">
        <v>772</v>
      </c>
    </row>
    <row r="613" spans="1:5" x14ac:dyDescent="0.2">
      <c r="A613" s="552" t="str">
        <f t="shared" si="14"/>
        <v>DNV-T I - 55</v>
      </c>
      <c r="B613" s="552">
        <v>55</v>
      </c>
      <c r="E613" s="551" t="s">
        <v>773</v>
      </c>
    </row>
    <row r="614" spans="1:5" x14ac:dyDescent="0.2">
      <c r="A614" s="552" t="str">
        <f t="shared" si="14"/>
        <v>DNV-T I - 56</v>
      </c>
      <c r="B614" s="552">
        <v>56</v>
      </c>
      <c r="E614" s="551" t="s">
        <v>774</v>
      </c>
    </row>
    <row r="615" spans="1:5" x14ac:dyDescent="0.2">
      <c r="A615" s="552" t="str">
        <f t="shared" si="14"/>
        <v>DNV-T I - 57</v>
      </c>
      <c r="B615" s="552">
        <v>57</v>
      </c>
      <c r="E615" s="551" t="s">
        <v>775</v>
      </c>
    </row>
    <row r="616" spans="1:5" x14ac:dyDescent="0.2">
      <c r="A616" s="552" t="str">
        <f t="shared" si="14"/>
        <v>DNV-T I - 58</v>
      </c>
      <c r="B616" s="552">
        <v>58</v>
      </c>
      <c r="E616" s="551" t="s">
        <v>776</v>
      </c>
    </row>
    <row r="617" spans="1:5" x14ac:dyDescent="0.2">
      <c r="A617" s="552" t="str">
        <f t="shared" si="14"/>
        <v>DNV-T I - 59</v>
      </c>
      <c r="B617" s="552">
        <v>59</v>
      </c>
      <c r="E617" s="551" t="s">
        <v>777</v>
      </c>
    </row>
    <row r="618" spans="1:5" x14ac:dyDescent="0.2">
      <c r="A618" s="552" t="str">
        <f t="shared" si="14"/>
        <v>DNV-T I - 60</v>
      </c>
      <c r="B618" s="552">
        <v>60</v>
      </c>
      <c r="E618" s="551" t="s">
        <v>778</v>
      </c>
    </row>
    <row r="619" spans="1:5" x14ac:dyDescent="0.2">
      <c r="A619" s="552" t="str">
        <f t="shared" si="14"/>
        <v>DNV-T I - 61</v>
      </c>
      <c r="B619" s="552">
        <v>61</v>
      </c>
      <c r="E619" s="551" t="s">
        <v>779</v>
      </c>
    </row>
    <row r="620" spans="1:5" x14ac:dyDescent="0.2">
      <c r="A620" s="552" t="str">
        <f t="shared" si="14"/>
        <v>DNV-T I - 62</v>
      </c>
      <c r="B620" s="552">
        <v>62</v>
      </c>
      <c r="E620" s="551" t="s">
        <v>780</v>
      </c>
    </row>
    <row r="621" spans="1:5" x14ac:dyDescent="0.2">
      <c r="A621" s="552" t="str">
        <f t="shared" si="14"/>
        <v>DNV-T I - 63</v>
      </c>
      <c r="B621" s="552">
        <v>63</v>
      </c>
      <c r="E621" s="551" t="s">
        <v>781</v>
      </c>
    </row>
    <row r="622" spans="1:5" x14ac:dyDescent="0.2">
      <c r="A622" s="552" t="str">
        <f t="shared" si="14"/>
        <v>DNV-T I - 64</v>
      </c>
      <c r="B622" s="552">
        <v>64</v>
      </c>
      <c r="E622" s="551" t="s">
        <v>782</v>
      </c>
    </row>
    <row r="623" spans="1:5" x14ac:dyDescent="0.2">
      <c r="A623" s="552" t="str">
        <f t="shared" ref="A623:A676" si="15">CONCATENATE("DNV-T I - ",B623)</f>
        <v>DNV-T I - 65</v>
      </c>
      <c r="B623" s="552">
        <v>65</v>
      </c>
      <c r="E623" s="551" t="s">
        <v>783</v>
      </c>
    </row>
    <row r="624" spans="1:5" x14ac:dyDescent="0.2">
      <c r="A624" s="552" t="str">
        <f t="shared" si="15"/>
        <v>DNV-T I - 66</v>
      </c>
      <c r="B624" s="552">
        <v>66</v>
      </c>
      <c r="E624" s="551" t="s">
        <v>784</v>
      </c>
    </row>
    <row r="625" spans="1:5" x14ac:dyDescent="0.2">
      <c r="A625" s="552" t="str">
        <f t="shared" si="15"/>
        <v>DNV-T I - 67</v>
      </c>
      <c r="B625" s="552">
        <v>67</v>
      </c>
      <c r="E625" s="551" t="s">
        <v>785</v>
      </c>
    </row>
    <row r="626" spans="1:5" x14ac:dyDescent="0.2">
      <c r="A626" s="552" t="str">
        <f t="shared" si="15"/>
        <v>DNV-T I - 68</v>
      </c>
      <c r="B626" s="552">
        <v>68</v>
      </c>
      <c r="E626" s="551" t="s">
        <v>786</v>
      </c>
    </row>
    <row r="627" spans="1:5" x14ac:dyDescent="0.2">
      <c r="A627" s="552" t="str">
        <f t="shared" si="15"/>
        <v>DNV-T I - 69</v>
      </c>
      <c r="B627" s="552">
        <v>69</v>
      </c>
      <c r="E627" s="551" t="s">
        <v>787</v>
      </c>
    </row>
    <row r="628" spans="1:5" x14ac:dyDescent="0.2">
      <c r="A628" s="552" t="str">
        <f t="shared" si="15"/>
        <v>DNV-T I - 70</v>
      </c>
      <c r="B628" s="552">
        <v>70</v>
      </c>
      <c r="E628" s="551" t="s">
        <v>788</v>
      </c>
    </row>
    <row r="629" spans="1:5" x14ac:dyDescent="0.2">
      <c r="A629" s="552" t="str">
        <f t="shared" si="15"/>
        <v>DNV-T I - 71</v>
      </c>
      <c r="B629" s="552">
        <v>71</v>
      </c>
      <c r="E629" s="551" t="s">
        <v>789</v>
      </c>
    </row>
    <row r="630" spans="1:5" x14ac:dyDescent="0.2">
      <c r="A630" s="552" t="str">
        <f t="shared" si="15"/>
        <v>DNV-T I - 72</v>
      </c>
      <c r="B630" s="552">
        <v>72</v>
      </c>
      <c r="E630" s="551" t="s">
        <v>790</v>
      </c>
    </row>
    <row r="631" spans="1:5" x14ac:dyDescent="0.2">
      <c r="A631" s="552" t="str">
        <f t="shared" si="15"/>
        <v>DNV-T I - 73</v>
      </c>
      <c r="B631" s="552">
        <v>73</v>
      </c>
      <c r="E631" s="551" t="s">
        <v>791</v>
      </c>
    </row>
    <row r="632" spans="1:5" x14ac:dyDescent="0.2">
      <c r="A632" s="552" t="str">
        <f t="shared" si="15"/>
        <v>DNV-T I - 74</v>
      </c>
      <c r="B632" s="552">
        <v>74</v>
      </c>
      <c r="E632" s="551" t="s">
        <v>792</v>
      </c>
    </row>
    <row r="633" spans="1:5" x14ac:dyDescent="0.2">
      <c r="A633" s="552" t="str">
        <f t="shared" si="15"/>
        <v>DNV-T I - 75</v>
      </c>
      <c r="B633" s="552">
        <v>75</v>
      </c>
      <c r="E633" s="551" t="s">
        <v>793</v>
      </c>
    </row>
    <row r="634" spans="1:5" x14ac:dyDescent="0.2">
      <c r="A634" s="552" t="str">
        <f t="shared" si="15"/>
        <v>DNV-T I - 76</v>
      </c>
      <c r="B634" s="552">
        <v>76</v>
      </c>
      <c r="E634" s="551" t="s">
        <v>794</v>
      </c>
    </row>
    <row r="635" spans="1:5" x14ac:dyDescent="0.2">
      <c r="A635" s="552" t="str">
        <f t="shared" si="15"/>
        <v>DNV-T I - 77</v>
      </c>
      <c r="B635" s="552">
        <v>77</v>
      </c>
      <c r="E635" s="551" t="s">
        <v>795</v>
      </c>
    </row>
    <row r="636" spans="1:5" x14ac:dyDescent="0.2">
      <c r="A636" s="552" t="str">
        <f t="shared" si="15"/>
        <v>DNV-T I - 78</v>
      </c>
      <c r="B636" s="552">
        <v>78</v>
      </c>
      <c r="E636" s="551" t="s">
        <v>796</v>
      </c>
    </row>
    <row r="637" spans="1:5" x14ac:dyDescent="0.2">
      <c r="A637" s="552" t="str">
        <f t="shared" si="15"/>
        <v>DNV-T I - 79</v>
      </c>
      <c r="B637" s="552">
        <v>79</v>
      </c>
      <c r="E637" s="551" t="s">
        <v>797</v>
      </c>
    </row>
    <row r="638" spans="1:5" x14ac:dyDescent="0.2">
      <c r="A638" s="552" t="str">
        <f t="shared" si="15"/>
        <v>DNV-T I - 80</v>
      </c>
      <c r="B638" s="552">
        <v>80</v>
      </c>
      <c r="E638" s="551" t="s">
        <v>798</v>
      </c>
    </row>
    <row r="639" spans="1:5" x14ac:dyDescent="0.2">
      <c r="A639" s="552" t="str">
        <f t="shared" si="15"/>
        <v>DNV-T I - 81</v>
      </c>
      <c r="B639" s="552">
        <v>81</v>
      </c>
      <c r="E639" s="551" t="s">
        <v>799</v>
      </c>
    </row>
    <row r="640" spans="1:5" x14ac:dyDescent="0.2">
      <c r="A640" s="552" t="str">
        <f t="shared" si="15"/>
        <v>DNV-T I - 82</v>
      </c>
      <c r="B640" s="552">
        <v>82</v>
      </c>
      <c r="E640" s="551" t="s">
        <v>800</v>
      </c>
    </row>
    <row r="641" spans="1:5" x14ac:dyDescent="0.2">
      <c r="A641" s="552" t="str">
        <f t="shared" si="15"/>
        <v>DNV-T I - 83</v>
      </c>
      <c r="B641" s="552">
        <v>83</v>
      </c>
      <c r="E641" s="551" t="s">
        <v>801</v>
      </c>
    </row>
    <row r="642" spans="1:5" x14ac:dyDescent="0.2">
      <c r="A642" s="552" t="str">
        <f t="shared" si="15"/>
        <v>DNV-T I - 84</v>
      </c>
      <c r="B642" s="552">
        <v>84</v>
      </c>
      <c r="E642" s="551" t="s">
        <v>802</v>
      </c>
    </row>
    <row r="643" spans="1:5" x14ac:dyDescent="0.2">
      <c r="A643" s="552" t="str">
        <f t="shared" si="15"/>
        <v>DNV-T I - 85</v>
      </c>
      <c r="B643" s="552">
        <v>85</v>
      </c>
      <c r="E643" s="551" t="s">
        <v>803</v>
      </c>
    </row>
    <row r="644" spans="1:5" x14ac:dyDescent="0.2">
      <c r="A644" s="552" t="str">
        <f t="shared" si="15"/>
        <v>DNV-T I - 86</v>
      </c>
      <c r="B644" s="552">
        <v>86</v>
      </c>
      <c r="E644" s="551" t="s">
        <v>804</v>
      </c>
    </row>
    <row r="645" spans="1:5" x14ac:dyDescent="0.2">
      <c r="A645" s="552" t="str">
        <f t="shared" si="15"/>
        <v>DNV-T I - 86.1</v>
      </c>
      <c r="B645" s="552" t="s">
        <v>805</v>
      </c>
      <c r="E645" s="551" t="s">
        <v>806</v>
      </c>
    </row>
    <row r="646" spans="1:5" x14ac:dyDescent="0.2">
      <c r="A646" s="552" t="str">
        <f t="shared" si="15"/>
        <v>DNV-T I - 86.1.1</v>
      </c>
      <c r="B646" s="552" t="s">
        <v>807</v>
      </c>
      <c r="E646" s="551" t="s">
        <v>808</v>
      </c>
    </row>
    <row r="647" spans="1:5" x14ac:dyDescent="0.2">
      <c r="A647" s="552" t="str">
        <f t="shared" si="15"/>
        <v>DNV-T I - 86.1.2</v>
      </c>
      <c r="B647" s="552" t="s">
        <v>809</v>
      </c>
      <c r="E647" s="551" t="s">
        <v>810</v>
      </c>
    </row>
    <row r="648" spans="1:5" x14ac:dyDescent="0.2">
      <c r="A648" s="552" t="str">
        <f t="shared" si="15"/>
        <v>DNV-T I - 86.1.3</v>
      </c>
      <c r="B648" s="552" t="s">
        <v>811</v>
      </c>
      <c r="E648" s="551" t="s">
        <v>812</v>
      </c>
    </row>
    <row r="649" spans="1:5" x14ac:dyDescent="0.2">
      <c r="A649" s="552" t="str">
        <f t="shared" si="15"/>
        <v>DNV-T I - 86.1.4</v>
      </c>
      <c r="B649" s="552" t="s">
        <v>813</v>
      </c>
      <c r="E649" s="551" t="s">
        <v>814</v>
      </c>
    </row>
    <row r="650" spans="1:5" x14ac:dyDescent="0.2">
      <c r="A650" s="552" t="str">
        <f t="shared" si="15"/>
        <v>DNV-T I - 86.1.5</v>
      </c>
      <c r="B650" s="552" t="s">
        <v>815</v>
      </c>
      <c r="E650" s="551" t="s">
        <v>816</v>
      </c>
    </row>
    <row r="651" spans="1:5" x14ac:dyDescent="0.2">
      <c r="A651" s="552" t="str">
        <f t="shared" si="15"/>
        <v>DNV-T I - 86.2</v>
      </c>
      <c r="B651" s="552" t="s">
        <v>817</v>
      </c>
      <c r="E651" s="551" t="s">
        <v>818</v>
      </c>
    </row>
    <row r="652" spans="1:5" x14ac:dyDescent="0.2">
      <c r="A652" s="552" t="str">
        <f t="shared" si="15"/>
        <v>DNV-T I - 86.2.1</v>
      </c>
      <c r="B652" s="552" t="s">
        <v>819</v>
      </c>
      <c r="E652" s="551" t="s">
        <v>808</v>
      </c>
    </row>
    <row r="653" spans="1:5" x14ac:dyDescent="0.2">
      <c r="A653" s="552" t="str">
        <f t="shared" si="15"/>
        <v>DNV-T I - 86.2.2</v>
      </c>
      <c r="B653" s="552" t="s">
        <v>820</v>
      </c>
      <c r="E653" s="551" t="s">
        <v>821</v>
      </c>
    </row>
    <row r="654" spans="1:5" x14ac:dyDescent="0.2">
      <c r="A654" s="552" t="str">
        <f t="shared" si="15"/>
        <v>DNV-T I - 86.2.3</v>
      </c>
      <c r="B654" s="552" t="s">
        <v>822</v>
      </c>
      <c r="E654" s="551" t="s">
        <v>810</v>
      </c>
    </row>
    <row r="655" spans="1:5" x14ac:dyDescent="0.2">
      <c r="A655" s="552" t="str">
        <f t="shared" si="15"/>
        <v>DNV-T I - 86.2.4</v>
      </c>
      <c r="B655" s="552" t="s">
        <v>823</v>
      </c>
      <c r="E655" s="551" t="s">
        <v>812</v>
      </c>
    </row>
    <row r="656" spans="1:5" x14ac:dyDescent="0.2">
      <c r="A656" s="552" t="str">
        <f t="shared" si="15"/>
        <v>DNV-T I - 86.2.5</v>
      </c>
      <c r="B656" s="552" t="s">
        <v>824</v>
      </c>
      <c r="E656" s="551" t="s">
        <v>814</v>
      </c>
    </row>
    <row r="657" spans="1:5" x14ac:dyDescent="0.2">
      <c r="A657" s="552" t="str">
        <f t="shared" si="15"/>
        <v>DNV-T I - 86.2.6</v>
      </c>
      <c r="B657" s="552" t="s">
        <v>825</v>
      </c>
      <c r="E657" s="551" t="s">
        <v>816</v>
      </c>
    </row>
    <row r="658" spans="1:5" x14ac:dyDescent="0.2">
      <c r="A658" s="552" t="str">
        <f t="shared" si="15"/>
        <v>DNV-T I - 87</v>
      </c>
      <c r="B658" s="552">
        <v>87</v>
      </c>
      <c r="E658" s="551" t="s">
        <v>826</v>
      </c>
    </row>
    <row r="659" spans="1:5" x14ac:dyDescent="0.2">
      <c r="A659" s="552" t="str">
        <f t="shared" si="15"/>
        <v>DNV-T I - 88</v>
      </c>
      <c r="B659" s="552">
        <v>88</v>
      </c>
      <c r="E659" s="551" t="s">
        <v>827</v>
      </c>
    </row>
    <row r="660" spans="1:5" x14ac:dyDescent="0.2">
      <c r="A660" s="552" t="str">
        <f t="shared" si="15"/>
        <v>DNV-T I - 89</v>
      </c>
      <c r="B660" s="552">
        <v>89</v>
      </c>
      <c r="E660" s="551" t="s">
        <v>828</v>
      </c>
    </row>
    <row r="661" spans="1:5" x14ac:dyDescent="0.2">
      <c r="A661" s="552" t="str">
        <f t="shared" si="15"/>
        <v>DNV-T I - 90</v>
      </c>
      <c r="B661" s="552">
        <v>90</v>
      </c>
      <c r="E661" s="551" t="s">
        <v>829</v>
      </c>
    </row>
    <row r="662" spans="1:5" x14ac:dyDescent="0.2">
      <c r="A662" s="552" t="str">
        <f t="shared" si="15"/>
        <v>DNV-T I - 91</v>
      </c>
      <c r="B662" s="552">
        <v>91</v>
      </c>
      <c r="E662" s="551" t="s">
        <v>830</v>
      </c>
    </row>
    <row r="663" spans="1:5" x14ac:dyDescent="0.2">
      <c r="A663" s="552" t="str">
        <f t="shared" si="15"/>
        <v>DNV-T I - 92</v>
      </c>
      <c r="B663" s="552">
        <v>92</v>
      </c>
      <c r="E663" s="551" t="s">
        <v>831</v>
      </c>
    </row>
    <row r="664" spans="1:5" x14ac:dyDescent="0.2">
      <c r="A664" s="552" t="str">
        <f t="shared" si="15"/>
        <v>DNV-T I - 93</v>
      </c>
      <c r="B664" s="552">
        <v>93</v>
      </c>
      <c r="E664" s="551" t="s">
        <v>832</v>
      </c>
    </row>
    <row r="665" spans="1:5" x14ac:dyDescent="0.2">
      <c r="A665" s="552" t="str">
        <f t="shared" si="15"/>
        <v>DNV-T I - 94</v>
      </c>
      <c r="B665" s="552">
        <v>94</v>
      </c>
      <c r="E665" s="551" t="s">
        <v>833</v>
      </c>
    </row>
    <row r="666" spans="1:5" x14ac:dyDescent="0.2">
      <c r="A666" s="552" t="str">
        <f t="shared" si="15"/>
        <v>DNV-T I - 95</v>
      </c>
      <c r="B666" s="552">
        <v>95</v>
      </c>
      <c r="E666" s="551" t="s">
        <v>834</v>
      </c>
    </row>
    <row r="667" spans="1:5" x14ac:dyDescent="0.2">
      <c r="A667" s="552" t="str">
        <f t="shared" si="15"/>
        <v>DNV-T I - 96</v>
      </c>
      <c r="B667" s="552">
        <v>96</v>
      </c>
      <c r="E667" s="551" t="s">
        <v>835</v>
      </c>
    </row>
    <row r="668" spans="1:5" x14ac:dyDescent="0.2">
      <c r="A668" s="552" t="str">
        <f t="shared" si="15"/>
        <v>DNV-T I - 97</v>
      </c>
      <c r="B668" s="552">
        <v>97</v>
      </c>
      <c r="E668" s="551" t="s">
        <v>836</v>
      </c>
    </row>
    <row r="669" spans="1:5" x14ac:dyDescent="0.2">
      <c r="A669" s="552" t="str">
        <f t="shared" si="15"/>
        <v>DNV-T I - 98</v>
      </c>
      <c r="B669" s="552">
        <v>98</v>
      </c>
      <c r="E669" s="551" t="s">
        <v>837</v>
      </c>
    </row>
    <row r="670" spans="1:5" x14ac:dyDescent="0.2">
      <c r="A670" s="552" t="str">
        <f t="shared" si="15"/>
        <v>DNV-T I - 99</v>
      </c>
      <c r="B670" s="552">
        <v>99</v>
      </c>
      <c r="E670" s="551" t="s">
        <v>838</v>
      </c>
    </row>
    <row r="671" spans="1:5" x14ac:dyDescent="0.2">
      <c r="A671" s="552" t="str">
        <f t="shared" si="15"/>
        <v>DNV-T I - 100</v>
      </c>
      <c r="B671" s="552">
        <v>100</v>
      </c>
      <c r="E671" s="551" t="s">
        <v>839</v>
      </c>
    </row>
    <row r="672" spans="1:5" x14ac:dyDescent="0.2">
      <c r="A672" s="552" t="str">
        <f t="shared" si="15"/>
        <v>DNV-T I - 101</v>
      </c>
      <c r="B672" s="552">
        <v>101</v>
      </c>
      <c r="E672" s="551" t="s">
        <v>840</v>
      </c>
    </row>
    <row r="673" spans="1:7" x14ac:dyDescent="0.2">
      <c r="A673" s="552" t="str">
        <f t="shared" si="15"/>
        <v>DNV-T I - 102</v>
      </c>
      <c r="B673" s="552">
        <v>102</v>
      </c>
      <c r="E673" s="551" t="s">
        <v>841</v>
      </c>
    </row>
    <row r="674" spans="1:7" x14ac:dyDescent="0.2">
      <c r="A674" s="552" t="str">
        <f t="shared" si="15"/>
        <v>DNV-T I - 103</v>
      </c>
      <c r="B674" s="552">
        <v>103</v>
      </c>
      <c r="E674" s="551" t="s">
        <v>842</v>
      </c>
    </row>
    <row r="675" spans="1:7" x14ac:dyDescent="0.2">
      <c r="A675" s="552" t="str">
        <f t="shared" si="15"/>
        <v>DNV-T I - 104</v>
      </c>
      <c r="B675" s="552">
        <v>104</v>
      </c>
      <c r="E675" s="551" t="s">
        <v>843</v>
      </c>
    </row>
    <row r="676" spans="1:7" x14ac:dyDescent="0.2">
      <c r="A676" s="552" t="str">
        <f t="shared" si="15"/>
        <v>DNV-T I - 105</v>
      </c>
      <c r="B676" s="552">
        <v>105</v>
      </c>
      <c r="E676" s="551" t="s">
        <v>844</v>
      </c>
    </row>
    <row r="678" spans="1:7" x14ac:dyDescent="0.2">
      <c r="A678" s="580"/>
      <c r="B678" s="550" t="s">
        <v>845</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846</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1870</v>
      </c>
    </row>
    <row r="758" spans="1:7" x14ac:dyDescent="0.2">
      <c r="B758" s="552" t="s">
        <v>42</v>
      </c>
      <c r="C758" s="552" t="s">
        <v>847</v>
      </c>
    </row>
    <row r="759" spans="1:7" x14ac:dyDescent="0.2">
      <c r="A759" s="552" t="str">
        <f>CONCATENATE("IIEE-SJ - ",B759)</f>
        <v>IIEE-SJ - 1</v>
      </c>
      <c r="B759" s="552">
        <v>1</v>
      </c>
      <c r="E759" s="551" t="s">
        <v>848</v>
      </c>
      <c r="F759" s="551" t="s">
        <v>2041</v>
      </c>
    </row>
    <row r="760" spans="1:7" x14ac:dyDescent="0.2">
      <c r="A760" s="552" t="s">
        <v>905</v>
      </c>
      <c r="B760" s="552">
        <v>101000</v>
      </c>
      <c r="E760" s="551" t="s">
        <v>715</v>
      </c>
      <c r="G760" s="584"/>
    </row>
    <row r="761" spans="1:7" x14ac:dyDescent="0.2">
      <c r="A761" s="552" t="s">
        <v>904</v>
      </c>
      <c r="B761" s="552">
        <v>102000</v>
      </c>
      <c r="E761" s="551" t="s">
        <v>716</v>
      </c>
      <c r="G761" s="584"/>
    </row>
    <row r="762" spans="1:7" x14ac:dyDescent="0.2">
      <c r="A762" s="552" t="s">
        <v>902</v>
      </c>
      <c r="B762" s="552">
        <v>103000</v>
      </c>
      <c r="E762" s="551" t="s">
        <v>717</v>
      </c>
      <c r="G762" s="584"/>
    </row>
    <row r="763" spans="1:7" x14ac:dyDescent="0.2">
      <c r="A763" s="552"/>
    </row>
    <row r="764" spans="1:7" x14ac:dyDescent="0.2">
      <c r="A764" s="552" t="s">
        <v>1871</v>
      </c>
      <c r="B764" s="552">
        <v>2</v>
      </c>
      <c r="E764" s="551" t="s">
        <v>849</v>
      </c>
    </row>
    <row r="765" spans="1:7" x14ac:dyDescent="0.2">
      <c r="A765" s="552"/>
    </row>
    <row r="766" spans="1:7" x14ac:dyDescent="0.2">
      <c r="A766" s="552" t="s">
        <v>1872</v>
      </c>
      <c r="B766" s="552">
        <v>201</v>
      </c>
      <c r="E766" s="551" t="s">
        <v>850</v>
      </c>
      <c r="F766" s="551" t="s">
        <v>2042</v>
      </c>
    </row>
    <row r="767" spans="1:7" x14ac:dyDescent="0.2">
      <c r="A767" s="552" t="s">
        <v>1873</v>
      </c>
      <c r="B767" s="552">
        <v>201001</v>
      </c>
      <c r="E767" s="551" t="s">
        <v>579</v>
      </c>
    </row>
    <row r="768" spans="1:7" x14ac:dyDescent="0.2">
      <c r="A768" s="552" t="s">
        <v>1874</v>
      </c>
      <c r="B768" s="552">
        <v>201002</v>
      </c>
      <c r="E768" s="551" t="s">
        <v>580</v>
      </c>
    </row>
    <row r="769" spans="1:6" x14ac:dyDescent="0.2">
      <c r="A769" s="552" t="s">
        <v>1875</v>
      </c>
      <c r="B769" s="552">
        <v>201003</v>
      </c>
      <c r="E769" s="551" t="s">
        <v>581</v>
      </c>
    </row>
    <row r="770" spans="1:6" x14ac:dyDescent="0.2">
      <c r="A770" s="557" t="s">
        <v>1876</v>
      </c>
      <c r="B770" s="557">
        <v>201004</v>
      </c>
      <c r="C770" s="557"/>
      <c r="D770" s="557"/>
      <c r="E770" s="558" t="s">
        <v>704</v>
      </c>
      <c r="F770" s="551" t="s">
        <v>2040</v>
      </c>
    </row>
    <row r="771" spans="1:6" x14ac:dyDescent="0.2">
      <c r="A771" s="552"/>
    </row>
    <row r="772" spans="1:6" x14ac:dyDescent="0.2">
      <c r="A772" s="552" t="s">
        <v>1877</v>
      </c>
      <c r="B772" s="552">
        <v>202</v>
      </c>
      <c r="E772" s="551" t="s">
        <v>851</v>
      </c>
      <c r="F772" s="551" t="s">
        <v>2042</v>
      </c>
    </row>
    <row r="773" spans="1:6" x14ac:dyDescent="0.2">
      <c r="A773" s="552" t="s">
        <v>1878</v>
      </c>
      <c r="B773" s="552">
        <v>202001</v>
      </c>
      <c r="E773" s="551" t="s">
        <v>582</v>
      </c>
    </row>
    <row r="774" spans="1:6" x14ac:dyDescent="0.2">
      <c r="A774" s="552" t="s">
        <v>1879</v>
      </c>
      <c r="B774" s="552">
        <v>202002</v>
      </c>
      <c r="E774" s="551" t="s">
        <v>583</v>
      </c>
    </row>
    <row r="775" spans="1:6" x14ac:dyDescent="0.2">
      <c r="A775" s="552" t="s">
        <v>1880</v>
      </c>
      <c r="B775" s="552">
        <v>202003</v>
      </c>
      <c r="E775" s="551" t="s">
        <v>584</v>
      </c>
    </row>
    <row r="776" spans="1:6" x14ac:dyDescent="0.2">
      <c r="A776" s="557" t="s">
        <v>1881</v>
      </c>
      <c r="B776" s="557">
        <v>202004</v>
      </c>
      <c r="C776" s="557"/>
      <c r="D776" s="557"/>
      <c r="E776" s="558" t="s">
        <v>677</v>
      </c>
      <c r="F776" s="551" t="s">
        <v>2040</v>
      </c>
    </row>
    <row r="777" spans="1:6" x14ac:dyDescent="0.2">
      <c r="A777" s="552"/>
    </row>
    <row r="778" spans="1:6" x14ac:dyDescent="0.2">
      <c r="A778" s="552" t="s">
        <v>1882</v>
      </c>
      <c r="B778" s="552">
        <v>203</v>
      </c>
      <c r="E778" s="551" t="s">
        <v>852</v>
      </c>
      <c r="F778" s="551" t="s">
        <v>2042</v>
      </c>
    </row>
    <row r="779" spans="1:6" x14ac:dyDescent="0.2">
      <c r="A779" s="552" t="s">
        <v>927</v>
      </c>
      <c r="B779" s="552">
        <v>203001</v>
      </c>
      <c r="E779" s="551" t="s">
        <v>853</v>
      </c>
    </row>
    <row r="780" spans="1:6" x14ac:dyDescent="0.2">
      <c r="A780" s="552" t="s">
        <v>926</v>
      </c>
      <c r="B780" s="552">
        <v>203002</v>
      </c>
      <c r="E780" s="551" t="s">
        <v>707</v>
      </c>
    </row>
    <row r="781" spans="1:6" x14ac:dyDescent="0.2">
      <c r="A781" s="552"/>
    </row>
    <row r="782" spans="1:6" x14ac:dyDescent="0.2">
      <c r="A782" s="552" t="s">
        <v>1883</v>
      </c>
      <c r="B782" s="552">
        <v>204</v>
      </c>
      <c r="E782" s="551" t="s">
        <v>854</v>
      </c>
      <c r="F782" s="551" t="s">
        <v>2042</v>
      </c>
    </row>
    <row r="783" spans="1:6" x14ac:dyDescent="0.2">
      <c r="A783" s="552" t="s">
        <v>1884</v>
      </c>
      <c r="B783" s="552">
        <v>204001</v>
      </c>
      <c r="E783" s="17" t="s">
        <v>855</v>
      </c>
    </row>
    <row r="784" spans="1:6" x14ac:dyDescent="0.2">
      <c r="A784" s="552" t="s">
        <v>1885</v>
      </c>
      <c r="B784" s="552">
        <v>204002</v>
      </c>
      <c r="E784" s="17" t="s">
        <v>856</v>
      </c>
    </row>
    <row r="785" spans="1:6" x14ac:dyDescent="0.2">
      <c r="A785" s="552" t="s">
        <v>1886</v>
      </c>
      <c r="B785" s="552">
        <v>204003</v>
      </c>
      <c r="E785" s="17" t="s">
        <v>857</v>
      </c>
    </row>
    <row r="786" spans="1:6" x14ac:dyDescent="0.2">
      <c r="A786" s="557" t="s">
        <v>1887</v>
      </c>
      <c r="B786" s="557">
        <v>204004</v>
      </c>
      <c r="C786" s="557"/>
      <c r="D786" s="557"/>
      <c r="E786" s="558" t="s">
        <v>687</v>
      </c>
      <c r="F786" s="551" t="s">
        <v>2040</v>
      </c>
    </row>
    <row r="787" spans="1:6" x14ac:dyDescent="0.2">
      <c r="A787" s="557" t="s">
        <v>1888</v>
      </c>
      <c r="B787" s="557">
        <v>204005</v>
      </c>
      <c r="C787" s="557"/>
      <c r="D787" s="557"/>
      <c r="E787" s="558" t="s">
        <v>688</v>
      </c>
      <c r="F787" s="551" t="s">
        <v>2040</v>
      </c>
    </row>
    <row r="788" spans="1:6" x14ac:dyDescent="0.2">
      <c r="A788" s="552"/>
    </row>
    <row r="789" spans="1:6" x14ac:dyDescent="0.2">
      <c r="A789" s="552" t="s">
        <v>1889</v>
      </c>
      <c r="B789" s="552">
        <v>205</v>
      </c>
      <c r="E789" s="551" t="s">
        <v>858</v>
      </c>
      <c r="F789" s="551" t="s">
        <v>2042</v>
      </c>
    </row>
    <row r="790" spans="1:6" x14ac:dyDescent="0.2">
      <c r="A790" s="552" t="s">
        <v>1890</v>
      </c>
      <c r="B790" s="552">
        <v>205001</v>
      </c>
      <c r="E790" s="551" t="s">
        <v>1891</v>
      </c>
    </row>
    <row r="791" spans="1:6" x14ac:dyDescent="0.2">
      <c r="A791" s="552" t="s">
        <v>925</v>
      </c>
      <c r="B791" s="552">
        <v>205002</v>
      </c>
      <c r="E791" s="551" t="s">
        <v>1892</v>
      </c>
    </row>
    <row r="792" spans="1:6" x14ac:dyDescent="0.2">
      <c r="A792" s="557" t="s">
        <v>1893</v>
      </c>
      <c r="B792" s="557">
        <v>205003</v>
      </c>
      <c r="C792" s="557"/>
      <c r="D792" s="557"/>
      <c r="E792" s="558" t="s">
        <v>685</v>
      </c>
      <c r="F792" s="551" t="s">
        <v>2040</v>
      </c>
    </row>
    <row r="793" spans="1:6" x14ac:dyDescent="0.2">
      <c r="A793" s="557" t="s">
        <v>1894</v>
      </c>
      <c r="B793" s="557">
        <v>205004</v>
      </c>
      <c r="C793" s="557"/>
      <c r="D793" s="557"/>
      <c r="E793" s="558" t="s">
        <v>686</v>
      </c>
      <c r="F793" s="551" t="s">
        <v>2040</v>
      </c>
    </row>
    <row r="794" spans="1:6" x14ac:dyDescent="0.2">
      <c r="A794" s="557" t="s">
        <v>1895</v>
      </c>
      <c r="B794" s="557">
        <v>205005</v>
      </c>
      <c r="C794" s="557"/>
      <c r="D794" s="557"/>
      <c r="E794" s="558" t="s">
        <v>684</v>
      </c>
      <c r="F794" s="551" t="s">
        <v>2040</v>
      </c>
    </row>
    <row r="795" spans="1:6" x14ac:dyDescent="0.2">
      <c r="A795" s="552"/>
    </row>
    <row r="796" spans="1:6" x14ac:dyDescent="0.2">
      <c r="A796" s="552" t="s">
        <v>1896</v>
      </c>
      <c r="B796" s="552">
        <v>206</v>
      </c>
      <c r="E796" s="551" t="s">
        <v>859</v>
      </c>
      <c r="F796" s="551" t="s">
        <v>2042</v>
      </c>
    </row>
    <row r="797" spans="1:6" x14ac:dyDescent="0.2">
      <c r="A797" s="552" t="s">
        <v>1897</v>
      </c>
      <c r="B797" s="552">
        <v>206001</v>
      </c>
      <c r="E797" s="551" t="s">
        <v>860</v>
      </c>
    </row>
    <row r="798" spans="1:6" x14ac:dyDescent="0.2">
      <c r="A798" s="552" t="s">
        <v>1898</v>
      </c>
      <c r="B798" s="552">
        <v>206002</v>
      </c>
      <c r="E798" s="551" t="s">
        <v>585</v>
      </c>
    </row>
    <row r="799" spans="1:6" x14ac:dyDescent="0.2">
      <c r="A799" s="557" t="s">
        <v>1899</v>
      </c>
      <c r="B799" s="557">
        <v>206003</v>
      </c>
      <c r="C799" s="557"/>
      <c r="D799" s="557"/>
      <c r="E799" s="558" t="s">
        <v>678</v>
      </c>
      <c r="F799" s="551" t="s">
        <v>2040</v>
      </c>
    </row>
    <row r="800" spans="1:6" x14ac:dyDescent="0.2">
      <c r="A800" s="557" t="s">
        <v>1900</v>
      </c>
      <c r="B800" s="557">
        <v>206004</v>
      </c>
      <c r="C800" s="557"/>
      <c r="D800" s="557"/>
      <c r="E800" s="558" t="s">
        <v>679</v>
      </c>
      <c r="F800" s="551" t="s">
        <v>2040</v>
      </c>
    </row>
    <row r="801" spans="1:6" x14ac:dyDescent="0.2">
      <c r="A801" s="552"/>
    </row>
    <row r="802" spans="1:6" x14ac:dyDescent="0.2">
      <c r="A802" s="552" t="s">
        <v>1901</v>
      </c>
      <c r="B802" s="552">
        <v>207</v>
      </c>
      <c r="E802" s="551" t="s">
        <v>861</v>
      </c>
      <c r="F802" s="551" t="s">
        <v>2042</v>
      </c>
    </row>
    <row r="803" spans="1:6" x14ac:dyDescent="0.2">
      <c r="A803" s="552" t="s">
        <v>1902</v>
      </c>
      <c r="B803" s="552">
        <v>207001</v>
      </c>
      <c r="E803" s="551" t="s">
        <v>586</v>
      </c>
    </row>
    <row r="804" spans="1:6" x14ac:dyDescent="0.2">
      <c r="A804" s="557" t="s">
        <v>1903</v>
      </c>
      <c r="B804" s="557">
        <v>207002</v>
      </c>
      <c r="C804" s="557"/>
      <c r="D804" s="557"/>
      <c r="E804" s="558" t="s">
        <v>862</v>
      </c>
      <c r="F804" s="551" t="s">
        <v>2040</v>
      </c>
    </row>
    <row r="805" spans="1:6" x14ac:dyDescent="0.2">
      <c r="A805" s="557" t="s">
        <v>1904</v>
      </c>
      <c r="B805" s="557">
        <v>207003</v>
      </c>
      <c r="C805" s="557"/>
      <c r="D805" s="557"/>
      <c r="E805" s="558" t="s">
        <v>680</v>
      </c>
      <c r="F805" s="551" t="s">
        <v>2040</v>
      </c>
    </row>
    <row r="806" spans="1:6" x14ac:dyDescent="0.2">
      <c r="A806" s="557" t="s">
        <v>1905</v>
      </c>
      <c r="B806" s="557">
        <v>207004</v>
      </c>
      <c r="C806" s="557"/>
      <c r="D806" s="557"/>
      <c r="E806" s="558" t="s">
        <v>683</v>
      </c>
      <c r="F806" s="551" t="s">
        <v>2040</v>
      </c>
    </row>
    <row r="807" spans="1:6" x14ac:dyDescent="0.2">
      <c r="A807" s="552"/>
    </row>
    <row r="808" spans="1:6" x14ac:dyDescent="0.2">
      <c r="A808" s="552" t="s">
        <v>1906</v>
      </c>
      <c r="B808" s="552">
        <v>208</v>
      </c>
      <c r="E808" s="551" t="s">
        <v>863</v>
      </c>
      <c r="F808" s="551" t="s">
        <v>2042</v>
      </c>
    </row>
    <row r="809" spans="1:6" x14ac:dyDescent="0.2">
      <c r="A809" s="552" t="s">
        <v>1907</v>
      </c>
      <c r="B809" s="552">
        <v>208001</v>
      </c>
      <c r="E809" s="551" t="s">
        <v>587</v>
      </c>
    </row>
    <row r="810" spans="1:6" x14ac:dyDescent="0.2">
      <c r="A810" s="557" t="s">
        <v>1908</v>
      </c>
      <c r="B810" s="557">
        <v>208002</v>
      </c>
      <c r="C810" s="557"/>
      <c r="D810" s="557"/>
      <c r="E810" s="558" t="s">
        <v>864</v>
      </c>
      <c r="F810" s="551" t="s">
        <v>2040</v>
      </c>
    </row>
    <row r="811" spans="1:6" x14ac:dyDescent="0.2">
      <c r="A811" s="552"/>
    </row>
    <row r="812" spans="1:6" x14ac:dyDescent="0.2">
      <c r="A812" s="552" t="s">
        <v>1909</v>
      </c>
      <c r="B812" s="552">
        <v>209</v>
      </c>
      <c r="E812" s="551" t="s">
        <v>865</v>
      </c>
      <c r="F812" s="551" t="s">
        <v>2042</v>
      </c>
    </row>
    <row r="813" spans="1:6" x14ac:dyDescent="0.2">
      <c r="A813" s="552" t="s">
        <v>1910</v>
      </c>
      <c r="B813" s="552">
        <v>209001</v>
      </c>
      <c r="E813" s="551" t="s">
        <v>588</v>
      </c>
    </row>
    <row r="814" spans="1:6" x14ac:dyDescent="0.2">
      <c r="A814" s="552" t="s">
        <v>1911</v>
      </c>
      <c r="B814" s="552">
        <v>209002</v>
      </c>
      <c r="E814" s="551" t="s">
        <v>589</v>
      </c>
    </row>
    <row r="815" spans="1:6" x14ac:dyDescent="0.2">
      <c r="A815" s="552" t="s">
        <v>1912</v>
      </c>
      <c r="B815" s="552">
        <v>209003</v>
      </c>
      <c r="E815" s="551" t="s">
        <v>590</v>
      </c>
    </row>
    <row r="816" spans="1:6" x14ac:dyDescent="0.2">
      <c r="A816" s="552" t="s">
        <v>1913</v>
      </c>
      <c r="B816" s="552">
        <v>209004</v>
      </c>
      <c r="E816" s="551" t="s">
        <v>591</v>
      </c>
    </row>
    <row r="817" spans="1:6" x14ac:dyDescent="0.2">
      <c r="A817" s="557" t="s">
        <v>1914</v>
      </c>
      <c r="B817" s="557">
        <v>209005</v>
      </c>
      <c r="C817" s="557"/>
      <c r="D817" s="557"/>
      <c r="E817" s="558" t="s">
        <v>690</v>
      </c>
      <c r="F817" s="551" t="s">
        <v>2040</v>
      </c>
    </row>
    <row r="818" spans="1:6" x14ac:dyDescent="0.2">
      <c r="A818" s="557" t="s">
        <v>1915</v>
      </c>
      <c r="B818" s="557">
        <v>209006</v>
      </c>
      <c r="C818" s="557"/>
      <c r="D818" s="557"/>
      <c r="E818" s="558" t="s">
        <v>691</v>
      </c>
      <c r="F818" s="551" t="s">
        <v>2040</v>
      </c>
    </row>
    <row r="819" spans="1:6" x14ac:dyDescent="0.2">
      <c r="A819" s="557" t="s">
        <v>1916</v>
      </c>
      <c r="B819" s="557">
        <v>209007</v>
      </c>
      <c r="C819" s="557"/>
      <c r="D819" s="557"/>
      <c r="E819" s="558" t="s">
        <v>692</v>
      </c>
      <c r="F819" s="551" t="s">
        <v>2040</v>
      </c>
    </row>
    <row r="820" spans="1:6" x14ac:dyDescent="0.2">
      <c r="A820" s="552"/>
    </row>
    <row r="821" spans="1:6" x14ac:dyDescent="0.2">
      <c r="A821" s="552" t="s">
        <v>1917</v>
      </c>
      <c r="B821" s="552">
        <v>210</v>
      </c>
      <c r="E821" s="551" t="s">
        <v>866</v>
      </c>
      <c r="F821" s="551" t="s">
        <v>2042</v>
      </c>
    </row>
    <row r="822" spans="1:6" x14ac:dyDescent="0.2">
      <c r="A822" s="552" t="s">
        <v>1918</v>
      </c>
      <c r="B822" s="552">
        <v>210001</v>
      </c>
      <c r="E822" s="551" t="s">
        <v>592</v>
      </c>
    </row>
    <row r="823" spans="1:6" x14ac:dyDescent="0.2">
      <c r="A823" s="552" t="s">
        <v>1919</v>
      </c>
      <c r="B823" s="552">
        <v>210002</v>
      </c>
      <c r="E823" s="551" t="s">
        <v>593</v>
      </c>
    </row>
    <row r="824" spans="1:6" x14ac:dyDescent="0.2">
      <c r="A824" s="552" t="s">
        <v>1920</v>
      </c>
      <c r="B824" s="552">
        <v>210003</v>
      </c>
      <c r="E824" s="551" t="s">
        <v>594</v>
      </c>
    </row>
    <row r="825" spans="1:6" x14ac:dyDescent="0.2">
      <c r="A825" s="552" t="s">
        <v>1921</v>
      </c>
      <c r="B825" s="552">
        <v>210004</v>
      </c>
      <c r="E825" s="551" t="s">
        <v>595</v>
      </c>
    </row>
    <row r="826" spans="1:6" x14ac:dyDescent="0.2">
      <c r="A826" s="552" t="s">
        <v>1922</v>
      </c>
      <c r="B826" s="552">
        <v>210005</v>
      </c>
      <c r="E826" s="551" t="s">
        <v>596</v>
      </c>
    </row>
    <row r="827" spans="1:6" x14ac:dyDescent="0.2">
      <c r="A827" s="552" t="s">
        <v>1923</v>
      </c>
      <c r="B827" s="552">
        <v>210006</v>
      </c>
      <c r="E827" s="551" t="s">
        <v>597</v>
      </c>
    </row>
    <row r="828" spans="1:6" x14ac:dyDescent="0.2">
      <c r="A828" s="552" t="s">
        <v>1924</v>
      </c>
      <c r="B828" s="552">
        <v>210007</v>
      </c>
      <c r="E828" s="551" t="s">
        <v>598</v>
      </c>
    </row>
    <row r="829" spans="1:6" x14ac:dyDescent="0.2">
      <c r="A829" s="552" t="s">
        <v>1925</v>
      </c>
      <c r="B829" s="552">
        <v>210008</v>
      </c>
      <c r="E829" s="551" t="s">
        <v>599</v>
      </c>
    </row>
    <row r="830" spans="1:6" x14ac:dyDescent="0.2">
      <c r="A830" s="552"/>
    </row>
    <row r="831" spans="1:6" x14ac:dyDescent="0.2">
      <c r="A831" s="552" t="s">
        <v>1926</v>
      </c>
      <c r="B831" s="552">
        <v>211</v>
      </c>
      <c r="E831" s="551" t="s">
        <v>867</v>
      </c>
      <c r="F831" s="551" t="s">
        <v>2042</v>
      </c>
    </row>
    <row r="832" spans="1:6" x14ac:dyDescent="0.2">
      <c r="A832" s="552" t="s">
        <v>1927</v>
      </c>
      <c r="B832" s="552">
        <v>211001</v>
      </c>
      <c r="E832" s="551" t="s">
        <v>600</v>
      </c>
    </row>
    <row r="833" spans="1:6" x14ac:dyDescent="0.2">
      <c r="A833" s="552" t="s">
        <v>1928</v>
      </c>
      <c r="B833" s="552">
        <v>211002</v>
      </c>
      <c r="E833" s="551" t="s">
        <v>601</v>
      </c>
    </row>
    <row r="834" spans="1:6" x14ac:dyDescent="0.2">
      <c r="A834" s="552" t="s">
        <v>1929</v>
      </c>
      <c r="B834" s="552">
        <v>211003</v>
      </c>
      <c r="E834" s="551" t="s">
        <v>602</v>
      </c>
    </row>
    <row r="835" spans="1:6" x14ac:dyDescent="0.2">
      <c r="A835" s="552" t="s">
        <v>1930</v>
      </c>
      <c r="B835" s="552">
        <v>211004</v>
      </c>
      <c r="E835" s="551" t="s">
        <v>603</v>
      </c>
    </row>
    <row r="836" spans="1:6" x14ac:dyDescent="0.2">
      <c r="A836" s="552" t="s">
        <v>1931</v>
      </c>
      <c r="B836" s="552">
        <v>211005</v>
      </c>
      <c r="E836" s="551" t="s">
        <v>604</v>
      </c>
    </row>
    <row r="837" spans="1:6" x14ac:dyDescent="0.2">
      <c r="A837" s="557" t="s">
        <v>1932</v>
      </c>
      <c r="B837" s="557">
        <v>211006</v>
      </c>
      <c r="C837" s="557"/>
      <c r="D837" s="557"/>
      <c r="E837" s="558" t="s">
        <v>705</v>
      </c>
      <c r="F837" s="551" t="s">
        <v>2040</v>
      </c>
    </row>
    <row r="838" spans="1:6" x14ac:dyDescent="0.2">
      <c r="A838" s="557" t="s">
        <v>1933</v>
      </c>
      <c r="B838" s="557">
        <v>211007</v>
      </c>
      <c r="C838" s="557"/>
      <c r="D838" s="557"/>
      <c r="E838" s="558" t="s">
        <v>706</v>
      </c>
      <c r="F838" s="551" t="s">
        <v>2040</v>
      </c>
    </row>
    <row r="839" spans="1:6" x14ac:dyDescent="0.2">
      <c r="A839" s="557" t="s">
        <v>1934</v>
      </c>
      <c r="B839" s="557">
        <v>211008</v>
      </c>
      <c r="C839" s="557"/>
      <c r="D839" s="557"/>
      <c r="E839" s="558" t="s">
        <v>868</v>
      </c>
      <c r="F839" s="551" t="s">
        <v>2040</v>
      </c>
    </row>
    <row r="840" spans="1:6" x14ac:dyDescent="0.2">
      <c r="A840" s="557" t="s">
        <v>1935</v>
      </c>
      <c r="B840" s="557">
        <v>211009</v>
      </c>
      <c r="C840" s="557"/>
      <c r="D840" s="557"/>
      <c r="E840" s="558" t="s">
        <v>869</v>
      </c>
      <c r="F840" s="551" t="s">
        <v>2040</v>
      </c>
    </row>
    <row r="841" spans="1:6" x14ac:dyDescent="0.2">
      <c r="A841" s="552"/>
    </row>
    <row r="842" spans="1:6" x14ac:dyDescent="0.2">
      <c r="A842" s="552" t="s">
        <v>1936</v>
      </c>
      <c r="B842" s="552">
        <v>212</v>
      </c>
      <c r="E842" s="551" t="s">
        <v>870</v>
      </c>
      <c r="F842" s="551" t="s">
        <v>2042</v>
      </c>
    </row>
    <row r="843" spans="1:6" x14ac:dyDescent="0.2">
      <c r="A843" s="552" t="s">
        <v>1937</v>
      </c>
      <c r="B843" s="552">
        <v>212001</v>
      </c>
      <c r="E843" s="551" t="s">
        <v>605</v>
      </c>
    </row>
    <row r="844" spans="1:6" x14ac:dyDescent="0.2">
      <c r="A844" s="552" t="s">
        <v>1938</v>
      </c>
      <c r="B844" s="552">
        <v>212002</v>
      </c>
      <c r="E844" s="551" t="s">
        <v>606</v>
      </c>
    </row>
    <row r="845" spans="1:6" x14ac:dyDescent="0.2">
      <c r="A845" s="557" t="s">
        <v>1939</v>
      </c>
      <c r="B845" s="557">
        <v>212003</v>
      </c>
      <c r="C845" s="557"/>
      <c r="D845" s="557"/>
      <c r="E845" s="558" t="s">
        <v>607</v>
      </c>
      <c r="F845" s="551" t="s">
        <v>2040</v>
      </c>
    </row>
    <row r="846" spans="1:6" x14ac:dyDescent="0.2">
      <c r="A846" s="552" t="s">
        <v>1940</v>
      </c>
      <c r="B846" s="552">
        <v>212004</v>
      </c>
      <c r="E846" s="551" t="s">
        <v>608</v>
      </c>
    </row>
    <row r="847" spans="1:6" x14ac:dyDescent="0.2">
      <c r="A847" s="552"/>
    </row>
    <row r="848" spans="1:6" x14ac:dyDescent="0.2">
      <c r="A848" s="552" t="s">
        <v>1941</v>
      </c>
      <c r="B848" s="552">
        <v>213</v>
      </c>
      <c r="E848" s="551" t="s">
        <v>871</v>
      </c>
      <c r="F848" s="551" t="s">
        <v>2042</v>
      </c>
    </row>
    <row r="849" spans="1:6" x14ac:dyDescent="0.2">
      <c r="A849" s="552" t="s">
        <v>1942</v>
      </c>
      <c r="B849" s="552">
        <v>213001</v>
      </c>
      <c r="E849" s="551" t="s">
        <v>609</v>
      </c>
    </row>
    <row r="850" spans="1:6" x14ac:dyDescent="0.2">
      <c r="A850" s="552" t="s">
        <v>1943</v>
      </c>
      <c r="B850" s="552">
        <v>213002</v>
      </c>
      <c r="E850" s="551" t="s">
        <v>610</v>
      </c>
    </row>
    <row r="851" spans="1:6" x14ac:dyDescent="0.2">
      <c r="A851" s="552" t="s">
        <v>1944</v>
      </c>
      <c r="B851" s="552">
        <v>213003</v>
      </c>
      <c r="E851" s="551" t="s">
        <v>611</v>
      </c>
    </row>
    <row r="852" spans="1:6" x14ac:dyDescent="0.2">
      <c r="A852" s="552" t="s">
        <v>1945</v>
      </c>
      <c r="B852" s="552">
        <v>213004</v>
      </c>
      <c r="E852" s="551" t="s">
        <v>612</v>
      </c>
    </row>
    <row r="853" spans="1:6" x14ac:dyDescent="0.2">
      <c r="A853" s="552" t="s">
        <v>1946</v>
      </c>
      <c r="B853" s="552">
        <v>213005</v>
      </c>
      <c r="E853" s="551" t="s">
        <v>613</v>
      </c>
    </row>
    <row r="854" spans="1:6" x14ac:dyDescent="0.2">
      <c r="A854" s="552" t="s">
        <v>1947</v>
      </c>
      <c r="B854" s="552">
        <v>213006</v>
      </c>
      <c r="E854" s="551" t="s">
        <v>614</v>
      </c>
    </row>
    <row r="855" spans="1:6" x14ac:dyDescent="0.2">
      <c r="A855" s="552" t="s">
        <v>1948</v>
      </c>
      <c r="B855" s="552">
        <v>213007</v>
      </c>
      <c r="E855" s="551" t="s">
        <v>615</v>
      </c>
    </row>
    <row r="856" spans="1:6" x14ac:dyDescent="0.2">
      <c r="A856" s="552" t="s">
        <v>1949</v>
      </c>
      <c r="B856" s="552">
        <v>213008</v>
      </c>
      <c r="E856" s="551" t="s">
        <v>616</v>
      </c>
    </row>
    <row r="857" spans="1:6" x14ac:dyDescent="0.2">
      <c r="A857" s="552"/>
    </row>
    <row r="858" spans="1:6" x14ac:dyDescent="0.2">
      <c r="A858" s="552" t="s">
        <v>1950</v>
      </c>
      <c r="B858" s="552">
        <v>214</v>
      </c>
      <c r="E858" s="551" t="s">
        <v>872</v>
      </c>
      <c r="F858" s="551" t="s">
        <v>2042</v>
      </c>
    </row>
    <row r="859" spans="1:6" x14ac:dyDescent="0.2">
      <c r="A859" s="552" t="s">
        <v>1951</v>
      </c>
      <c r="B859" s="552">
        <v>214001</v>
      </c>
      <c r="E859" s="551" t="s">
        <v>617</v>
      </c>
    </row>
    <row r="860" spans="1:6" x14ac:dyDescent="0.2">
      <c r="A860" s="552" t="s">
        <v>1631</v>
      </c>
      <c r="B860" s="552">
        <v>214002</v>
      </c>
      <c r="E860" s="551" t="s">
        <v>618</v>
      </c>
    </row>
    <row r="861" spans="1:6" x14ac:dyDescent="0.2">
      <c r="A861" s="552" t="s">
        <v>1952</v>
      </c>
      <c r="B861" s="552">
        <v>214003</v>
      </c>
      <c r="E861" s="551" t="s">
        <v>619</v>
      </c>
    </row>
    <row r="862" spans="1:6" x14ac:dyDescent="0.2">
      <c r="A862" s="552" t="s">
        <v>1645</v>
      </c>
      <c r="B862" s="552">
        <v>214004</v>
      </c>
      <c r="E862" s="551" t="s">
        <v>620</v>
      </c>
    </row>
    <row r="863" spans="1:6" x14ac:dyDescent="0.2">
      <c r="A863" s="552" t="s">
        <v>1953</v>
      </c>
      <c r="B863" s="552">
        <v>214005</v>
      </c>
      <c r="E863" s="551" t="s">
        <v>621</v>
      </c>
    </row>
    <row r="864" spans="1:6" x14ac:dyDescent="0.2">
      <c r="A864" s="552" t="s">
        <v>1662</v>
      </c>
      <c r="B864" s="552">
        <v>214006</v>
      </c>
      <c r="E864" s="551" t="s">
        <v>622</v>
      </c>
    </row>
    <row r="865" spans="1:6" x14ac:dyDescent="0.2">
      <c r="A865" s="552"/>
    </row>
    <row r="866" spans="1:6" x14ac:dyDescent="0.2">
      <c r="A866" s="552" t="s">
        <v>1954</v>
      </c>
      <c r="B866" s="552">
        <v>215</v>
      </c>
      <c r="E866" s="551" t="s">
        <v>873</v>
      </c>
      <c r="F866" s="551" t="s">
        <v>2042</v>
      </c>
    </row>
    <row r="867" spans="1:6" x14ac:dyDescent="0.2">
      <c r="A867" s="557" t="s">
        <v>1955</v>
      </c>
      <c r="B867" s="557">
        <v>215001</v>
      </c>
      <c r="C867" s="557"/>
      <c r="D867" s="557"/>
      <c r="E867" s="558" t="s">
        <v>623</v>
      </c>
      <c r="F867" s="551" t="s">
        <v>2040</v>
      </c>
    </row>
    <row r="868" spans="1:6" x14ac:dyDescent="0.2">
      <c r="A868" s="557" t="s">
        <v>1956</v>
      </c>
      <c r="B868" s="557">
        <v>215002</v>
      </c>
      <c r="C868" s="557"/>
      <c r="D868" s="557"/>
      <c r="E868" s="558" t="s">
        <v>624</v>
      </c>
      <c r="F868" s="551" t="s">
        <v>2040</v>
      </c>
    </row>
    <row r="869" spans="1:6" x14ac:dyDescent="0.2">
      <c r="A869" s="557" t="s">
        <v>1957</v>
      </c>
      <c r="B869" s="557">
        <v>215003</v>
      </c>
      <c r="C869" s="557"/>
      <c r="D869" s="557"/>
      <c r="E869" s="558" t="s">
        <v>625</v>
      </c>
      <c r="F869" s="551" t="s">
        <v>2040</v>
      </c>
    </row>
    <row r="870" spans="1:6" x14ac:dyDescent="0.2">
      <c r="A870" s="552" t="s">
        <v>1958</v>
      </c>
      <c r="B870" s="552">
        <v>215004</v>
      </c>
      <c r="E870" s="551" t="s">
        <v>626</v>
      </c>
    </row>
    <row r="871" spans="1:6" x14ac:dyDescent="0.2">
      <c r="A871" s="552" t="s">
        <v>1959</v>
      </c>
      <c r="B871" s="552">
        <v>215005</v>
      </c>
      <c r="E871" s="551" t="s">
        <v>627</v>
      </c>
    </row>
    <row r="872" spans="1:6" x14ac:dyDescent="0.2">
      <c r="A872" s="552" t="s">
        <v>1960</v>
      </c>
      <c r="B872" s="552">
        <v>215006</v>
      </c>
      <c r="E872" s="551" t="s">
        <v>628</v>
      </c>
    </row>
    <row r="873" spans="1:6" x14ac:dyDescent="0.2">
      <c r="A873" s="552"/>
    </row>
    <row r="874" spans="1:6" x14ac:dyDescent="0.2">
      <c r="A874" s="552" t="s">
        <v>1961</v>
      </c>
      <c r="B874" s="552">
        <v>216</v>
      </c>
      <c r="E874" s="551" t="s">
        <v>874</v>
      </c>
      <c r="F874" s="551" t="s">
        <v>2042</v>
      </c>
    </row>
    <row r="875" spans="1:6" x14ac:dyDescent="0.2">
      <c r="A875" s="552" t="s">
        <v>1962</v>
      </c>
      <c r="B875" s="552">
        <v>216001</v>
      </c>
      <c r="E875" s="551" t="s">
        <v>629</v>
      </c>
    </row>
    <row r="876" spans="1:6" x14ac:dyDescent="0.2">
      <c r="A876" s="552" t="s">
        <v>1963</v>
      </c>
      <c r="B876" s="552">
        <v>216002</v>
      </c>
      <c r="E876" s="551" t="s">
        <v>630</v>
      </c>
    </row>
    <row r="877" spans="1:6" x14ac:dyDescent="0.2">
      <c r="A877" s="552" t="s">
        <v>1964</v>
      </c>
      <c r="B877" s="552">
        <v>216003</v>
      </c>
      <c r="E877" s="551" t="s">
        <v>631</v>
      </c>
    </row>
    <row r="878" spans="1:6" x14ac:dyDescent="0.2">
      <c r="A878" s="552" t="s">
        <v>1965</v>
      </c>
      <c r="B878" s="552">
        <v>216004</v>
      </c>
      <c r="E878" s="551" t="s">
        <v>632</v>
      </c>
    </row>
    <row r="879" spans="1:6" x14ac:dyDescent="0.2">
      <c r="A879" s="552" t="s">
        <v>1966</v>
      </c>
      <c r="B879" s="552">
        <v>216005</v>
      </c>
      <c r="E879" s="551" t="s">
        <v>633</v>
      </c>
    </row>
    <row r="880" spans="1:6" x14ac:dyDescent="0.2">
      <c r="A880" s="552"/>
    </row>
    <row r="881" spans="1:6" x14ac:dyDescent="0.2">
      <c r="A881" s="552" t="s">
        <v>1967</v>
      </c>
      <c r="B881" s="552">
        <v>217</v>
      </c>
      <c r="E881" s="551" t="s">
        <v>875</v>
      </c>
      <c r="F881" s="551" t="s">
        <v>2042</v>
      </c>
    </row>
    <row r="882" spans="1:6" x14ac:dyDescent="0.2">
      <c r="A882" s="552" t="s">
        <v>1968</v>
      </c>
      <c r="B882" s="552">
        <v>217001</v>
      </c>
      <c r="E882" s="551" t="s">
        <v>634</v>
      </c>
    </row>
    <row r="883" spans="1:6" x14ac:dyDescent="0.2">
      <c r="A883" s="552" t="s">
        <v>1969</v>
      </c>
      <c r="B883" s="552">
        <v>217002</v>
      </c>
      <c r="E883" s="551" t="s">
        <v>635</v>
      </c>
    </row>
    <row r="884" spans="1:6" x14ac:dyDescent="0.2">
      <c r="A884" s="552"/>
    </row>
    <row r="885" spans="1:6" x14ac:dyDescent="0.2">
      <c r="A885" s="552" t="s">
        <v>1970</v>
      </c>
      <c r="B885" s="552">
        <v>218</v>
      </c>
      <c r="E885" s="551" t="s">
        <v>826</v>
      </c>
      <c r="F885" s="551" t="s">
        <v>2042</v>
      </c>
    </row>
    <row r="886" spans="1:6" x14ac:dyDescent="0.2">
      <c r="A886" s="552" t="s">
        <v>1971</v>
      </c>
      <c r="B886" s="552">
        <v>218001</v>
      </c>
      <c r="E886" s="551" t="s">
        <v>636</v>
      </c>
    </row>
    <row r="887" spans="1:6" x14ac:dyDescent="0.2">
      <c r="A887" s="552" t="s">
        <v>1972</v>
      </c>
      <c r="B887" s="552">
        <v>218002</v>
      </c>
      <c r="E887" s="551" t="s">
        <v>637</v>
      </c>
    </row>
    <row r="888" spans="1:6" x14ac:dyDescent="0.2">
      <c r="A888" s="552" t="s">
        <v>1973</v>
      </c>
      <c r="B888" s="552">
        <v>218003</v>
      </c>
      <c r="E888" s="551" t="s">
        <v>638</v>
      </c>
    </row>
    <row r="889" spans="1:6" x14ac:dyDescent="0.2">
      <c r="A889" s="552"/>
    </row>
    <row r="890" spans="1:6" x14ac:dyDescent="0.2">
      <c r="A890" s="552" t="s">
        <v>1974</v>
      </c>
      <c r="B890" s="552">
        <v>219</v>
      </c>
      <c r="E890" s="551" t="s">
        <v>876</v>
      </c>
      <c r="F890" s="551" t="s">
        <v>2042</v>
      </c>
    </row>
    <row r="891" spans="1:6" x14ac:dyDescent="0.2">
      <c r="A891" s="552" t="s">
        <v>1975</v>
      </c>
      <c r="B891" s="552">
        <v>219001</v>
      </c>
      <c r="E891" s="551" t="s">
        <v>877</v>
      </c>
    </row>
    <row r="892" spans="1:6" x14ac:dyDescent="0.2">
      <c r="A892" s="552" t="s">
        <v>1976</v>
      </c>
      <c r="B892" s="552">
        <v>219002</v>
      </c>
      <c r="E892" s="551" t="s">
        <v>878</v>
      </c>
    </row>
    <row r="893" spans="1:6" x14ac:dyDescent="0.2">
      <c r="A893" s="552" t="s">
        <v>1977</v>
      </c>
      <c r="B893" s="552">
        <v>219003</v>
      </c>
      <c r="E893" s="551" t="s">
        <v>879</v>
      </c>
    </row>
    <row r="894" spans="1:6" x14ac:dyDescent="0.2">
      <c r="A894" s="552" t="s">
        <v>1978</v>
      </c>
      <c r="B894" s="552">
        <v>219004</v>
      </c>
      <c r="E894" s="551" t="s">
        <v>880</v>
      </c>
    </row>
    <row r="895" spans="1:6" x14ac:dyDescent="0.2">
      <c r="A895" s="552" t="s">
        <v>1979</v>
      </c>
      <c r="B895" s="552">
        <v>219005</v>
      </c>
      <c r="E895" s="551" t="s">
        <v>881</v>
      </c>
    </row>
    <row r="896" spans="1:6" x14ac:dyDescent="0.2">
      <c r="A896" s="552"/>
    </row>
    <row r="897" spans="1:6" x14ac:dyDescent="0.2">
      <c r="A897" s="552" t="s">
        <v>1980</v>
      </c>
      <c r="B897" s="552">
        <v>220</v>
      </c>
      <c r="E897" s="551" t="s">
        <v>882</v>
      </c>
      <c r="F897" s="551" t="s">
        <v>2042</v>
      </c>
    </row>
    <row r="898" spans="1:6" x14ac:dyDescent="0.2">
      <c r="A898" s="557" t="s">
        <v>1981</v>
      </c>
      <c r="B898" s="557">
        <v>220001</v>
      </c>
      <c r="C898" s="557"/>
      <c r="D898" s="557"/>
      <c r="E898" s="558" t="s">
        <v>639</v>
      </c>
      <c r="F898" s="551" t="s">
        <v>2040</v>
      </c>
    </row>
    <row r="899" spans="1:6" x14ac:dyDescent="0.2">
      <c r="A899" s="557" t="s">
        <v>1982</v>
      </c>
      <c r="B899" s="557">
        <v>220002</v>
      </c>
      <c r="C899" s="557"/>
      <c r="D899" s="557"/>
      <c r="E899" s="558" t="s">
        <v>640</v>
      </c>
      <c r="F899" s="551" t="s">
        <v>2040</v>
      </c>
    </row>
    <row r="900" spans="1:6" x14ac:dyDescent="0.2">
      <c r="A900" s="557" t="s">
        <v>1983</v>
      </c>
      <c r="B900" s="557">
        <v>220003</v>
      </c>
      <c r="C900" s="557"/>
      <c r="D900" s="557"/>
      <c r="E900" s="558" t="s">
        <v>641</v>
      </c>
      <c r="F900" s="551" t="s">
        <v>2040</v>
      </c>
    </row>
    <row r="901" spans="1:6" x14ac:dyDescent="0.2">
      <c r="A901" s="552" t="s">
        <v>1984</v>
      </c>
      <c r="B901" s="552">
        <v>220004</v>
      </c>
      <c r="E901" s="551" t="s">
        <v>642</v>
      </c>
    </row>
    <row r="902" spans="1:6" x14ac:dyDescent="0.2">
      <c r="A902" s="552" t="s">
        <v>1985</v>
      </c>
      <c r="B902" s="552">
        <v>220005</v>
      </c>
      <c r="E902" s="551" t="s">
        <v>643</v>
      </c>
    </row>
    <row r="903" spans="1:6" x14ac:dyDescent="0.2">
      <c r="A903" s="552" t="s">
        <v>1986</v>
      </c>
      <c r="B903" s="552">
        <v>220006</v>
      </c>
      <c r="E903" s="551" t="s">
        <v>644</v>
      </c>
    </row>
    <row r="904" spans="1:6" x14ac:dyDescent="0.2">
      <c r="A904" s="552"/>
    </row>
    <row r="905" spans="1:6" x14ac:dyDescent="0.2">
      <c r="A905" s="552" t="s">
        <v>1987</v>
      </c>
      <c r="B905" s="552">
        <v>221</v>
      </c>
      <c r="E905" s="551" t="s">
        <v>883</v>
      </c>
      <c r="F905" s="551" t="s">
        <v>2042</v>
      </c>
    </row>
    <row r="906" spans="1:6" x14ac:dyDescent="0.2">
      <c r="A906" s="552" t="s">
        <v>1988</v>
      </c>
      <c r="B906" s="552">
        <v>221001</v>
      </c>
      <c r="E906" s="551" t="s">
        <v>645</v>
      </c>
    </row>
    <row r="907" spans="1:6" x14ac:dyDescent="0.2">
      <c r="A907" s="552" t="s">
        <v>1989</v>
      </c>
      <c r="B907" s="552">
        <v>221002</v>
      </c>
      <c r="E907" s="551" t="s">
        <v>646</v>
      </c>
    </row>
    <row r="908" spans="1:6" x14ac:dyDescent="0.2">
      <c r="A908" s="552" t="s">
        <v>1990</v>
      </c>
      <c r="B908" s="552">
        <v>221003</v>
      </c>
      <c r="E908" s="551" t="s">
        <v>647</v>
      </c>
    </row>
    <row r="909" spans="1:6" x14ac:dyDescent="0.2">
      <c r="A909" s="557" t="s">
        <v>1991</v>
      </c>
      <c r="B909" s="557">
        <v>221004</v>
      </c>
      <c r="C909" s="557"/>
      <c r="D909" s="557"/>
      <c r="E909" s="558" t="s">
        <v>648</v>
      </c>
      <c r="F909" s="551" t="s">
        <v>2040</v>
      </c>
    </row>
    <row r="910" spans="1:6" x14ac:dyDescent="0.2">
      <c r="A910" s="557" t="s">
        <v>1992</v>
      </c>
      <c r="B910" s="557">
        <v>221005</v>
      </c>
      <c r="C910" s="557"/>
      <c r="D910" s="557"/>
      <c r="E910" s="558" t="s">
        <v>649</v>
      </c>
      <c r="F910" s="551" t="s">
        <v>2040</v>
      </c>
    </row>
    <row r="911" spans="1:6" x14ac:dyDescent="0.2">
      <c r="A911" s="552" t="s">
        <v>1993</v>
      </c>
      <c r="B911" s="552">
        <v>221006</v>
      </c>
      <c r="E911" s="551" t="s">
        <v>650</v>
      </c>
    </row>
    <row r="912" spans="1:6" x14ac:dyDescent="0.2">
      <c r="A912" s="552"/>
    </row>
    <row r="913" spans="1:6" x14ac:dyDescent="0.2">
      <c r="A913" s="552" t="s">
        <v>1994</v>
      </c>
      <c r="B913" s="552">
        <v>222</v>
      </c>
      <c r="E913" s="551" t="s">
        <v>884</v>
      </c>
      <c r="F913" s="551" t="s">
        <v>2042</v>
      </c>
    </row>
    <row r="914" spans="1:6" x14ac:dyDescent="0.2">
      <c r="A914" s="552" t="s">
        <v>1995</v>
      </c>
      <c r="B914" s="552">
        <v>222001</v>
      </c>
      <c r="E914" s="551" t="s">
        <v>651</v>
      </c>
    </row>
    <row r="915" spans="1:6" x14ac:dyDescent="0.2">
      <c r="A915" s="552" t="s">
        <v>1996</v>
      </c>
      <c r="B915" s="552">
        <v>222002</v>
      </c>
      <c r="E915" s="551" t="s">
        <v>652</v>
      </c>
    </row>
    <row r="916" spans="1:6" x14ac:dyDescent="0.2">
      <c r="A916" s="552" t="s">
        <v>1997</v>
      </c>
      <c r="B916" s="552">
        <v>222003</v>
      </c>
      <c r="E916" s="551" t="s">
        <v>653</v>
      </c>
    </row>
    <row r="917" spans="1:6" x14ac:dyDescent="0.2">
      <c r="A917" s="552" t="s">
        <v>1998</v>
      </c>
      <c r="B917" s="552">
        <v>222004</v>
      </c>
      <c r="E917" s="551" t="s">
        <v>654</v>
      </c>
    </row>
    <row r="918" spans="1:6" x14ac:dyDescent="0.2">
      <c r="A918" s="552" t="s">
        <v>1999</v>
      </c>
      <c r="B918" s="552">
        <v>222005</v>
      </c>
      <c r="E918" s="551" t="s">
        <v>655</v>
      </c>
    </row>
    <row r="919" spans="1:6" x14ac:dyDescent="0.2">
      <c r="A919" s="552" t="s">
        <v>2000</v>
      </c>
      <c r="B919" s="552">
        <v>222006</v>
      </c>
      <c r="E919" s="551" t="s">
        <v>656</v>
      </c>
    </row>
    <row r="920" spans="1:6" x14ac:dyDescent="0.2">
      <c r="A920" s="552" t="s">
        <v>2001</v>
      </c>
      <c r="B920" s="552">
        <v>222007</v>
      </c>
      <c r="E920" s="551" t="s">
        <v>657</v>
      </c>
    </row>
    <row r="921" spans="1:6" x14ac:dyDescent="0.2">
      <c r="A921" s="552" t="s">
        <v>2002</v>
      </c>
      <c r="B921" s="552">
        <v>222008</v>
      </c>
      <c r="E921" s="551" t="s">
        <v>658</v>
      </c>
    </row>
    <row r="922" spans="1:6" x14ac:dyDescent="0.2">
      <c r="A922" s="552" t="s">
        <v>2003</v>
      </c>
      <c r="B922" s="552">
        <v>222009</v>
      </c>
      <c r="E922" s="551" t="s">
        <v>659</v>
      </c>
    </row>
    <row r="923" spans="1:6" x14ac:dyDescent="0.2">
      <c r="A923" s="552" t="s">
        <v>2004</v>
      </c>
      <c r="B923" s="552">
        <v>222010</v>
      </c>
      <c r="E923" s="551" t="s">
        <v>660</v>
      </c>
    </row>
    <row r="924" spans="1:6" x14ac:dyDescent="0.2">
      <c r="A924" s="552" t="s">
        <v>2005</v>
      </c>
      <c r="B924" s="552">
        <v>222011</v>
      </c>
      <c r="E924" s="551" t="s">
        <v>661</v>
      </c>
    </row>
    <row r="925" spans="1:6" x14ac:dyDescent="0.2">
      <c r="A925" s="552" t="s">
        <v>2006</v>
      </c>
      <c r="B925" s="552">
        <v>222012</v>
      </c>
      <c r="E925" s="551" t="s">
        <v>662</v>
      </c>
    </row>
    <row r="926" spans="1:6" x14ac:dyDescent="0.2">
      <c r="A926" s="552" t="s">
        <v>2007</v>
      </c>
      <c r="B926" s="552">
        <v>222013</v>
      </c>
      <c r="E926" s="551" t="s">
        <v>663</v>
      </c>
    </row>
    <row r="927" spans="1:6" x14ac:dyDescent="0.2">
      <c r="A927" s="552" t="s">
        <v>2008</v>
      </c>
      <c r="B927" s="552">
        <v>222014</v>
      </c>
      <c r="E927" s="551" t="s">
        <v>664</v>
      </c>
    </row>
    <row r="928" spans="1:6" x14ac:dyDescent="0.2">
      <c r="A928" s="552" t="s">
        <v>2009</v>
      </c>
      <c r="B928" s="552">
        <v>222015</v>
      </c>
      <c r="E928" s="551" t="s">
        <v>665</v>
      </c>
    </row>
    <row r="929" spans="1:6" x14ac:dyDescent="0.2">
      <c r="A929" s="552" t="s">
        <v>2010</v>
      </c>
      <c r="B929" s="552">
        <v>222016</v>
      </c>
      <c r="E929" s="551" t="s">
        <v>666</v>
      </c>
    </row>
    <row r="930" spans="1:6" x14ac:dyDescent="0.2">
      <c r="A930" s="552"/>
    </row>
    <row r="931" spans="1:6" x14ac:dyDescent="0.2">
      <c r="A931" s="552" t="s">
        <v>2011</v>
      </c>
      <c r="B931" s="552">
        <v>223</v>
      </c>
      <c r="E931" s="551" t="s">
        <v>885</v>
      </c>
      <c r="F931" s="551" t="s">
        <v>2042</v>
      </c>
    </row>
    <row r="932" spans="1:6" x14ac:dyDescent="0.2">
      <c r="A932" s="552" t="s">
        <v>2012</v>
      </c>
      <c r="B932" s="552">
        <v>223001</v>
      </c>
      <c r="E932" s="551" t="s">
        <v>667</v>
      </c>
    </row>
    <row r="933" spans="1:6" x14ac:dyDescent="0.2">
      <c r="A933" s="552" t="s">
        <v>2013</v>
      </c>
      <c r="B933" s="552">
        <v>223002</v>
      </c>
      <c r="E933" s="551" t="s">
        <v>668</v>
      </c>
    </row>
    <row r="934" spans="1:6" x14ac:dyDescent="0.2">
      <c r="A934" s="557" t="s">
        <v>2014</v>
      </c>
      <c r="B934" s="557">
        <v>223003</v>
      </c>
      <c r="C934" s="557"/>
      <c r="D934" s="557"/>
      <c r="E934" s="558" t="s">
        <v>669</v>
      </c>
      <c r="F934" s="551" t="s">
        <v>2040</v>
      </c>
    </row>
    <row r="935" spans="1:6" x14ac:dyDescent="0.2">
      <c r="A935" s="552" t="s">
        <v>2015</v>
      </c>
      <c r="B935" s="552">
        <v>223004</v>
      </c>
      <c r="E935" s="551" t="s">
        <v>670</v>
      </c>
    </row>
    <row r="936" spans="1:6" x14ac:dyDescent="0.2">
      <c r="A936" s="552" t="s">
        <v>2016</v>
      </c>
      <c r="B936" s="552">
        <v>223005</v>
      </c>
      <c r="E936" s="551" t="s">
        <v>671</v>
      </c>
    </row>
    <row r="937" spans="1:6" x14ac:dyDescent="0.2">
      <c r="A937" s="552" t="s">
        <v>2017</v>
      </c>
      <c r="B937" s="552">
        <v>223006</v>
      </c>
      <c r="E937" s="551" t="s">
        <v>672</v>
      </c>
    </row>
    <row r="938" spans="1:6" x14ac:dyDescent="0.2">
      <c r="A938" s="552" t="s">
        <v>2018</v>
      </c>
      <c r="B938" s="552">
        <v>223007</v>
      </c>
      <c r="E938" s="551" t="s">
        <v>673</v>
      </c>
    </row>
    <row r="939" spans="1:6" x14ac:dyDescent="0.2">
      <c r="A939" s="552" t="s">
        <v>2019</v>
      </c>
      <c r="B939" s="552">
        <v>223008</v>
      </c>
      <c r="E939" s="551" t="s">
        <v>674</v>
      </c>
    </row>
    <row r="940" spans="1:6" x14ac:dyDescent="0.2">
      <c r="A940" s="552" t="s">
        <v>2020</v>
      </c>
      <c r="B940" s="552">
        <v>223009</v>
      </c>
      <c r="E940" s="551" t="s">
        <v>675</v>
      </c>
    </row>
    <row r="941" spans="1:6" x14ac:dyDescent="0.2">
      <c r="A941" s="552" t="s">
        <v>2021</v>
      </c>
      <c r="B941" s="552">
        <v>223010</v>
      </c>
      <c r="E941" s="551" t="s">
        <v>676</v>
      </c>
    </row>
    <row r="942" spans="1:6" x14ac:dyDescent="0.2">
      <c r="A942" s="552"/>
    </row>
    <row r="943" spans="1:6" x14ac:dyDescent="0.2">
      <c r="A943" s="552" t="s">
        <v>2022</v>
      </c>
      <c r="B943" s="552">
        <v>224</v>
      </c>
      <c r="E943" s="551" t="s">
        <v>301</v>
      </c>
      <c r="F943" s="551" t="s">
        <v>2042</v>
      </c>
    </row>
    <row r="944" spans="1:6" x14ac:dyDescent="0.2">
      <c r="A944" s="557" t="s">
        <v>2023</v>
      </c>
      <c r="B944" s="557">
        <v>224001</v>
      </c>
      <c r="C944" s="557"/>
      <c r="D944" s="557"/>
      <c r="E944" s="558" t="s">
        <v>681</v>
      </c>
      <c r="F944" s="551" t="s">
        <v>2040</v>
      </c>
    </row>
    <row r="945" spans="1:6" x14ac:dyDescent="0.2">
      <c r="A945" s="557" t="s">
        <v>2024</v>
      </c>
      <c r="B945" s="557">
        <v>224002</v>
      </c>
      <c r="C945" s="557"/>
      <c r="D945" s="557"/>
      <c r="E945" s="558" t="s">
        <v>682</v>
      </c>
      <c r="F945" s="551" t="s">
        <v>2040</v>
      </c>
    </row>
    <row r="946" spans="1:6" x14ac:dyDescent="0.2">
      <c r="A946" s="552"/>
    </row>
    <row r="947" spans="1:6" x14ac:dyDescent="0.2">
      <c r="A947" s="552" t="s">
        <v>2025</v>
      </c>
      <c r="B947" s="552">
        <v>225</v>
      </c>
      <c r="E947" s="551" t="s">
        <v>886</v>
      </c>
      <c r="F947" s="551" t="s">
        <v>2042</v>
      </c>
    </row>
    <row r="948" spans="1:6" x14ac:dyDescent="0.2">
      <c r="A948" s="557" t="s">
        <v>2026</v>
      </c>
      <c r="B948" s="557">
        <v>225001</v>
      </c>
      <c r="C948" s="557"/>
      <c r="D948" s="557"/>
      <c r="E948" s="558" t="s">
        <v>700</v>
      </c>
      <c r="F948" s="551" t="s">
        <v>2040</v>
      </c>
    </row>
    <row r="949" spans="1:6" x14ac:dyDescent="0.2">
      <c r="A949" s="557" t="s">
        <v>2027</v>
      </c>
      <c r="B949" s="557">
        <v>225002</v>
      </c>
      <c r="C949" s="557"/>
      <c r="D949" s="557"/>
      <c r="E949" s="558" t="s">
        <v>701</v>
      </c>
      <c r="F949" s="551" t="s">
        <v>2040</v>
      </c>
    </row>
    <row r="950" spans="1:6" x14ac:dyDescent="0.2">
      <c r="A950" s="552"/>
    </row>
    <row r="951" spans="1:6" x14ac:dyDescent="0.2">
      <c r="A951" s="552" t="s">
        <v>2028</v>
      </c>
      <c r="B951" s="552">
        <v>226</v>
      </c>
      <c r="E951" s="551" t="s">
        <v>887</v>
      </c>
      <c r="F951" s="551" t="s">
        <v>2042</v>
      </c>
    </row>
    <row r="952" spans="1:6" x14ac:dyDescent="0.2">
      <c r="A952" s="557" t="s">
        <v>2029</v>
      </c>
      <c r="B952" s="557">
        <v>226003</v>
      </c>
      <c r="C952" s="557"/>
      <c r="D952" s="557"/>
      <c r="E952" s="558" t="s">
        <v>689</v>
      </c>
      <c r="F952" s="551" t="s">
        <v>2040</v>
      </c>
    </row>
    <row r="953" spans="1:6" x14ac:dyDescent="0.2">
      <c r="A953" s="557" t="s">
        <v>2030</v>
      </c>
      <c r="B953" s="557">
        <v>226004</v>
      </c>
      <c r="C953" s="557"/>
      <c r="D953" s="557"/>
      <c r="E953" s="558" t="s">
        <v>702</v>
      </c>
      <c r="F953" s="551" t="s">
        <v>2040</v>
      </c>
    </row>
    <row r="954" spans="1:6" x14ac:dyDescent="0.2">
      <c r="A954" s="557" t="s">
        <v>2031</v>
      </c>
      <c r="B954" s="557">
        <v>226005</v>
      </c>
      <c r="C954" s="557"/>
      <c r="D954" s="557"/>
      <c r="E954" s="558" t="s">
        <v>703</v>
      </c>
      <c r="F954" s="551" t="s">
        <v>2040</v>
      </c>
    </row>
    <row r="955" spans="1:6" x14ac:dyDescent="0.2">
      <c r="A955" s="552"/>
    </row>
    <row r="956" spans="1:6" x14ac:dyDescent="0.2">
      <c r="A956" s="552" t="s">
        <v>2032</v>
      </c>
      <c r="B956" s="552">
        <v>227</v>
      </c>
      <c r="E956" s="551" t="s">
        <v>888</v>
      </c>
      <c r="F956" s="551" t="s">
        <v>2042</v>
      </c>
    </row>
    <row r="957" spans="1:6" x14ac:dyDescent="0.2">
      <c r="A957" s="557" t="s">
        <v>2033</v>
      </c>
      <c r="B957" s="557">
        <v>227001</v>
      </c>
      <c r="C957" s="557"/>
      <c r="D957" s="557"/>
      <c r="E957" s="558" t="s">
        <v>694</v>
      </c>
      <c r="F957" s="551" t="s">
        <v>2040</v>
      </c>
    </row>
    <row r="958" spans="1:6" x14ac:dyDescent="0.2">
      <c r="A958" s="557" t="s">
        <v>2034</v>
      </c>
      <c r="B958" s="557">
        <v>227002</v>
      </c>
      <c r="C958" s="557"/>
      <c r="D958" s="557"/>
      <c r="E958" s="558" t="s">
        <v>695</v>
      </c>
      <c r="F958" s="551" t="s">
        <v>2040</v>
      </c>
    </row>
    <row r="959" spans="1:6" x14ac:dyDescent="0.2">
      <c r="A959" s="557" t="s">
        <v>2035</v>
      </c>
      <c r="B959" s="557">
        <v>227003</v>
      </c>
      <c r="C959" s="557"/>
      <c r="D959" s="557"/>
      <c r="E959" s="558" t="s">
        <v>696</v>
      </c>
      <c r="F959" s="551" t="s">
        <v>2040</v>
      </c>
    </row>
    <row r="960" spans="1:6" x14ac:dyDescent="0.2">
      <c r="A960" s="557" t="s">
        <v>2036</v>
      </c>
      <c r="B960" s="557">
        <v>227004</v>
      </c>
      <c r="C960" s="557"/>
      <c r="D960" s="557"/>
      <c r="E960" s="558" t="s">
        <v>697</v>
      </c>
      <c r="F960" s="551" t="s">
        <v>2040</v>
      </c>
    </row>
    <row r="961" spans="1:7" x14ac:dyDescent="0.2">
      <c r="A961" s="557" t="s">
        <v>2037</v>
      </c>
      <c r="B961" s="557">
        <v>227005</v>
      </c>
      <c r="C961" s="557"/>
      <c r="D961" s="557"/>
      <c r="E961" s="558" t="s">
        <v>698</v>
      </c>
      <c r="F961" s="551" t="s">
        <v>2040</v>
      </c>
    </row>
    <row r="962" spans="1:7" x14ac:dyDescent="0.2">
      <c r="A962" s="557" t="s">
        <v>2038</v>
      </c>
      <c r="B962" s="557">
        <v>227006</v>
      </c>
      <c r="C962" s="557"/>
      <c r="D962" s="557"/>
      <c r="E962" s="558" t="s">
        <v>699</v>
      </c>
      <c r="F962" s="551" t="s">
        <v>2040</v>
      </c>
    </row>
    <row r="963" spans="1:7" x14ac:dyDescent="0.2">
      <c r="A963" s="557" t="s">
        <v>2039</v>
      </c>
      <c r="B963" s="557">
        <v>227007</v>
      </c>
      <c r="C963" s="557"/>
      <c r="D963" s="557"/>
      <c r="E963" s="558" t="s">
        <v>693</v>
      </c>
      <c r="F963" s="551" t="s">
        <v>2040</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G21" sqref="G21"/>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9.85546875" style="73" bestFit="1"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91" t="s">
        <v>942</v>
      </c>
      <c r="B1" s="692"/>
      <c r="C1" s="692"/>
      <c r="D1" s="693"/>
      <c r="E1" s="78"/>
      <c r="F1" s="78"/>
      <c r="I1" s="75"/>
      <c r="J1" s="73"/>
    </row>
    <row r="2" spans="1:10" ht="20.100000000000001" customHeight="1" x14ac:dyDescent="0.2">
      <c r="A2" s="72" t="s">
        <v>8</v>
      </c>
      <c r="C2" s="72" t="s">
        <v>1017</v>
      </c>
      <c r="D2" s="72"/>
      <c r="E2" s="72"/>
      <c r="F2" s="72"/>
      <c r="I2" s="75"/>
      <c r="J2" s="73"/>
    </row>
    <row r="3" spans="1:10" s="84" customFormat="1" ht="20.100000000000001" customHeight="1" x14ac:dyDescent="0.2">
      <c r="A3" s="83" t="s">
        <v>9</v>
      </c>
      <c r="C3" s="85" t="s">
        <v>2132</v>
      </c>
      <c r="D3" s="86"/>
      <c r="E3" s="83" t="s">
        <v>2063</v>
      </c>
      <c r="F3" s="86"/>
      <c r="I3" s="181"/>
    </row>
    <row r="4" spans="1:10" s="81" customFormat="1" ht="19.5" customHeight="1" x14ac:dyDescent="0.2">
      <c r="A4" s="157" t="s">
        <v>982</v>
      </c>
      <c r="C4" s="158" t="s">
        <v>2120</v>
      </c>
      <c r="D4" s="5"/>
      <c r="E4" s="85"/>
      <c r="F4" s="81" t="s">
        <v>2064</v>
      </c>
      <c r="I4" s="446"/>
    </row>
    <row r="5" spans="1:10" s="81" customFormat="1" ht="19.5" customHeight="1" x14ac:dyDescent="0.2">
      <c r="A5" s="157" t="s">
        <v>983</v>
      </c>
      <c r="C5" s="158"/>
      <c r="D5" s="5"/>
      <c r="E5" s="5"/>
      <c r="I5" s="446"/>
    </row>
    <row r="6" spans="1:10" s="81" customFormat="1" ht="19.5" customHeight="1" x14ac:dyDescent="0.2">
      <c r="A6" s="157" t="s">
        <v>984</v>
      </c>
      <c r="C6" s="158"/>
      <c r="D6" s="5"/>
      <c r="E6" s="459"/>
      <c r="F6" s="81" t="s">
        <v>2065</v>
      </c>
      <c r="I6" s="446"/>
    </row>
    <row r="7" spans="1:10" s="81" customFormat="1" ht="19.5" customHeight="1" x14ac:dyDescent="0.2">
      <c r="A7" s="157" t="s">
        <v>985</v>
      </c>
      <c r="C7" s="158"/>
      <c r="D7" s="5"/>
      <c r="E7" s="5"/>
      <c r="I7" s="446"/>
    </row>
    <row r="8" spans="1:10" s="84" customFormat="1" ht="20.100000000000001" customHeight="1" x14ac:dyDescent="0.2">
      <c r="A8" s="83" t="s">
        <v>13</v>
      </c>
      <c r="C8" s="87" t="s">
        <v>2133</v>
      </c>
      <c r="D8" s="86"/>
      <c r="E8" s="601"/>
      <c r="F8" s="81" t="s">
        <v>2066</v>
      </c>
      <c r="I8" s="181"/>
    </row>
    <row r="9" spans="1:10" s="84" customFormat="1" ht="20.100000000000001" customHeight="1" x14ac:dyDescent="0.2">
      <c r="A9" s="83" t="s">
        <v>12</v>
      </c>
      <c r="C9" s="88"/>
      <c r="I9" s="181"/>
    </row>
    <row r="10" spans="1:10" s="84" customFormat="1" ht="20.100000000000001" customHeight="1" x14ac:dyDescent="0.2">
      <c r="A10" s="83" t="s">
        <v>30</v>
      </c>
      <c r="C10" s="89"/>
      <c r="I10" s="181"/>
    </row>
    <row r="11" spans="1:10" s="84" customFormat="1" ht="20.100000000000001" customHeight="1" x14ac:dyDescent="0.2">
      <c r="A11" s="83" t="s">
        <v>15</v>
      </c>
      <c r="C11" s="90">
        <v>37125000</v>
      </c>
      <c r="I11" s="181"/>
    </row>
    <row r="12" spans="1:10" s="84" customFormat="1" ht="20.100000000000001" customHeight="1" x14ac:dyDescent="0.2">
      <c r="A12" s="83" t="s">
        <v>893</v>
      </c>
      <c r="C12" s="91">
        <v>0</v>
      </c>
      <c r="I12" s="181"/>
    </row>
    <row r="13" spans="1:10" s="84" customFormat="1" ht="20.100000000000001" customHeight="1" x14ac:dyDescent="0.2">
      <c r="A13" s="83" t="s">
        <v>892</v>
      </c>
      <c r="C13" s="92"/>
      <c r="I13" s="181"/>
    </row>
    <row r="14" spans="1:10" s="84" customFormat="1" ht="20.100000000000001" customHeight="1" x14ac:dyDescent="0.2">
      <c r="A14" s="83" t="s">
        <v>14</v>
      </c>
      <c r="C14" s="93" t="s">
        <v>2121</v>
      </c>
      <c r="I14" s="181"/>
    </row>
    <row r="15" spans="1:10" s="84" customFormat="1" ht="20.100000000000001" customHeight="1" x14ac:dyDescent="0.2">
      <c r="A15" s="83"/>
      <c r="B15" s="94"/>
      <c r="I15" s="181"/>
    </row>
    <row r="16" spans="1:10" ht="20.100000000000001" customHeight="1" x14ac:dyDescent="0.2">
      <c r="A16" s="694" t="s">
        <v>943</v>
      </c>
      <c r="B16" s="694"/>
      <c r="C16" s="694"/>
      <c r="D16" s="694"/>
      <c r="E16" s="694"/>
      <c r="F16" s="78"/>
      <c r="I16" s="75"/>
      <c r="J16" s="73"/>
    </row>
    <row r="17" spans="1:11" s="84" customFormat="1" ht="20.100000000000001" customHeight="1" x14ac:dyDescent="0.2">
      <c r="A17" s="83" t="s">
        <v>10</v>
      </c>
      <c r="C17" s="459"/>
      <c r="D17" s="106"/>
      <c r="I17" s="181"/>
    </row>
    <row r="18" spans="1:11" s="81" customFormat="1" ht="20.100000000000001" customHeight="1" x14ac:dyDescent="0.2">
      <c r="A18" s="157" t="s">
        <v>1846</v>
      </c>
      <c r="B18" s="455"/>
      <c r="C18" s="459"/>
      <c r="D18" s="5"/>
      <c r="E18" s="5"/>
      <c r="I18" s="446"/>
    </row>
    <row r="19" spans="1:11" s="81" customFormat="1" ht="20.100000000000001" customHeight="1" x14ac:dyDescent="0.2">
      <c r="A19" s="157" t="s">
        <v>1847</v>
      </c>
      <c r="B19" s="455"/>
      <c r="C19" s="459"/>
      <c r="D19" s="5"/>
      <c r="E19" s="5"/>
      <c r="I19" s="446"/>
    </row>
    <row r="20" spans="1:11" s="81" customFormat="1" ht="20.100000000000001" customHeight="1" x14ac:dyDescent="0.2">
      <c r="A20" s="157" t="s">
        <v>1848</v>
      </c>
      <c r="B20" s="455"/>
      <c r="C20" s="459"/>
      <c r="D20" s="5"/>
      <c r="E20" s="5"/>
      <c r="I20" s="446"/>
      <c r="K20" s="81" t="e">
        <f>MATCH(Datos!B32,T_Datos)</f>
        <v>#N/A</v>
      </c>
    </row>
    <row r="21" spans="1:11" s="81" customFormat="1" ht="20.100000000000001" customHeight="1" x14ac:dyDescent="0.2">
      <c r="A21" s="157" t="s">
        <v>1847</v>
      </c>
      <c r="B21" s="455"/>
      <c r="C21" s="459"/>
      <c r="D21" s="5"/>
      <c r="E21" s="5"/>
      <c r="I21" s="446"/>
    </row>
    <row r="22" spans="1:11" s="81" customFormat="1" ht="20.100000000000001" customHeight="1" x14ac:dyDescent="0.2">
      <c r="A22" s="157" t="s">
        <v>1848</v>
      </c>
      <c r="B22" s="455"/>
      <c r="C22" s="459"/>
      <c r="D22" s="5"/>
      <c r="E22" s="5"/>
      <c r="I22" s="446"/>
    </row>
    <row r="23" spans="1:11" s="81" customFormat="1" ht="20.100000000000001" customHeight="1" x14ac:dyDescent="0.2">
      <c r="A23" s="83" t="s">
        <v>1845</v>
      </c>
      <c r="C23" s="459"/>
      <c r="D23" s="106"/>
      <c r="E23" s="84"/>
      <c r="F23" s="84"/>
      <c r="G23" s="84"/>
      <c r="H23" s="84"/>
      <c r="I23" s="446"/>
    </row>
    <row r="24" spans="1:11" s="81" customFormat="1" ht="20.100000000000001" customHeight="1" x14ac:dyDescent="0.2">
      <c r="A24" s="83" t="s">
        <v>937</v>
      </c>
      <c r="C24" s="459"/>
      <c r="D24" s="107"/>
      <c r="E24" s="104"/>
      <c r="F24" s="104"/>
      <c r="G24" s="73"/>
      <c r="H24" s="73"/>
      <c r="I24" s="446"/>
    </row>
    <row r="25" spans="1:11" s="81" customFormat="1" ht="20.100000000000001" customHeight="1" x14ac:dyDescent="0.2">
      <c r="A25" s="83" t="s">
        <v>936</v>
      </c>
      <c r="B25" s="73"/>
      <c r="C25" s="459"/>
      <c r="D25" s="107"/>
      <c r="E25" s="73"/>
      <c r="F25" s="73"/>
      <c r="G25" s="73"/>
      <c r="H25" s="73"/>
      <c r="I25" s="446"/>
    </row>
    <row r="26" spans="1:11" s="81" customFormat="1" ht="20.100000000000001" customHeight="1" x14ac:dyDescent="0.2">
      <c r="A26" s="83" t="s">
        <v>962</v>
      </c>
      <c r="C26" s="459"/>
      <c r="D26" s="107"/>
      <c r="E26" s="73"/>
      <c r="F26" s="73"/>
      <c r="G26" s="73"/>
      <c r="H26" s="73"/>
      <c r="I26" s="446"/>
    </row>
    <row r="27" spans="1:11" s="81" customFormat="1" ht="20.100000000000001" customHeight="1" x14ac:dyDescent="0.2">
      <c r="A27" s="83" t="s">
        <v>935</v>
      </c>
      <c r="B27" s="73"/>
      <c r="C27" s="459"/>
      <c r="D27" s="107"/>
      <c r="E27" s="73"/>
      <c r="F27" s="73"/>
      <c r="G27" s="73"/>
      <c r="H27" s="73"/>
      <c r="I27" s="446"/>
    </row>
    <row r="28" spans="1:11" ht="20.100000000000001" customHeight="1" x14ac:dyDescent="0.2">
      <c r="A28" s="83" t="s">
        <v>939</v>
      </c>
      <c r="C28" s="600">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91" t="s">
        <v>961</v>
      </c>
      <c r="C30" s="692"/>
      <c r="D30" s="692"/>
      <c r="E30" s="693"/>
      <c r="F30" s="78"/>
      <c r="I30" s="75"/>
      <c r="J30" s="95"/>
    </row>
    <row r="31" spans="1:11" ht="20.100000000000001" customHeight="1" x14ac:dyDescent="0.2">
      <c r="G31" s="690" t="s">
        <v>963</v>
      </c>
      <c r="H31" s="690"/>
      <c r="I31" s="75"/>
      <c r="J31" s="95"/>
    </row>
    <row r="32" spans="1:11" ht="27.75" customHeight="1" x14ac:dyDescent="0.2">
      <c r="B32" s="463" t="s">
        <v>894</v>
      </c>
      <c r="C32" s="460" t="s">
        <v>0</v>
      </c>
      <c r="D32" s="464" t="s">
        <v>1</v>
      </c>
      <c r="E32" s="463" t="s">
        <v>2</v>
      </c>
      <c r="F32" s="110"/>
      <c r="G32" s="463" t="s">
        <v>964</v>
      </c>
      <c r="H32" s="463" t="s">
        <v>1</v>
      </c>
      <c r="I32" s="75"/>
      <c r="J32" s="463" t="s">
        <v>1849</v>
      </c>
    </row>
    <row r="33" spans="1:11" ht="20.100000000000001" customHeight="1" x14ac:dyDescent="0.2">
      <c r="B33" s="70"/>
      <c r="C33" s="454"/>
      <c r="D33" s="108"/>
      <c r="E33" s="70"/>
      <c r="F33" s="110"/>
      <c r="G33" s="612"/>
      <c r="H33" s="612"/>
      <c r="I33" s="75"/>
      <c r="J33" s="73"/>
    </row>
    <row r="34" spans="1:11" ht="20.100000000000001" customHeight="1" x14ac:dyDescent="0.2">
      <c r="A34" s="597">
        <f>IF(D34=0,A33,A33+1)</f>
        <v>1</v>
      </c>
      <c r="B34" s="111">
        <v>1</v>
      </c>
      <c r="C34" s="71" t="str">
        <f>+G34</f>
        <v>Desbosque, destronque y limpieza del terreno</v>
      </c>
      <c r="D34" s="71" t="str">
        <f>+H34</f>
        <v>Ha</v>
      </c>
      <c r="E34" s="599">
        <v>1.54</v>
      </c>
      <c r="F34" s="153"/>
      <c r="G34" s="154" t="s">
        <v>2122</v>
      </c>
      <c r="H34" s="598" t="s">
        <v>1506</v>
      </c>
      <c r="I34" s="75"/>
      <c r="J34" s="73"/>
    </row>
    <row r="35" spans="1:11" ht="20.100000000000001" customHeight="1" x14ac:dyDescent="0.2">
      <c r="A35" s="597">
        <f t="shared" ref="A35:A98" si="0">IF(D35=0,A34,A34+1)</f>
        <v>2</v>
      </c>
      <c r="B35" s="111">
        <v>2</v>
      </c>
      <c r="C35" s="71" t="str">
        <f>+G35</f>
        <v>Extracción de Arboles  y Tocones (diam.&gt;0,60 m y &lt;1,00 m)</v>
      </c>
      <c r="D35" s="71" t="str">
        <f t="shared" ref="D35:D43" si="1">+H35</f>
        <v>Un.</v>
      </c>
      <c r="E35" s="599">
        <v>4</v>
      </c>
      <c r="F35" s="155"/>
      <c r="G35" s="154" t="s">
        <v>2128</v>
      </c>
      <c r="H35" s="598" t="s">
        <v>2123</v>
      </c>
      <c r="I35" s="456"/>
      <c r="J35" s="73"/>
    </row>
    <row r="36" spans="1:11" ht="20.100000000000001" customHeight="1" x14ac:dyDescent="0.2">
      <c r="A36" s="597">
        <f t="shared" si="0"/>
        <v>3</v>
      </c>
      <c r="B36" s="111">
        <v>3</v>
      </c>
      <c r="C36" s="71" t="str">
        <f t="shared" ref="C36:C50" si="2">+G36</f>
        <v>Excavación No Clasificada</v>
      </c>
      <c r="D36" s="71" t="str">
        <f t="shared" si="1"/>
        <v>m3</v>
      </c>
      <c r="E36" s="599">
        <v>129.06</v>
      </c>
      <c r="F36" s="155"/>
      <c r="G36" s="154" t="s">
        <v>2125</v>
      </c>
      <c r="H36" s="598" t="s">
        <v>2113</v>
      </c>
      <c r="I36" s="457"/>
      <c r="J36" s="73"/>
    </row>
    <row r="37" spans="1:11" ht="20.100000000000001" customHeight="1" x14ac:dyDescent="0.2">
      <c r="A37" s="597">
        <f t="shared" si="0"/>
        <v>4</v>
      </c>
      <c r="B37" s="111">
        <v>4</v>
      </c>
      <c r="C37" s="71" t="str">
        <f t="shared" si="2"/>
        <v>Construcción de Subbase Estabilizada Granular</v>
      </c>
      <c r="D37" s="71" t="str">
        <f t="shared" si="1"/>
        <v>m3</v>
      </c>
      <c r="E37" s="599">
        <v>11123.88</v>
      </c>
      <c r="F37" s="155"/>
      <c r="G37" s="154" t="s">
        <v>2124</v>
      </c>
      <c r="H37" s="598" t="s">
        <v>2113</v>
      </c>
      <c r="I37" s="75"/>
      <c r="J37" s="73"/>
    </row>
    <row r="38" spans="1:11" ht="20.100000000000001" customHeight="1" x14ac:dyDescent="0.2">
      <c r="A38" s="597">
        <f t="shared" si="0"/>
        <v>5</v>
      </c>
      <c r="B38" s="111">
        <v>5</v>
      </c>
      <c r="C38" s="71" t="str">
        <f t="shared" si="2"/>
        <v>Construcción de Base Estabilizada Granular</v>
      </c>
      <c r="D38" s="71" t="str">
        <f t="shared" si="1"/>
        <v>m3</v>
      </c>
      <c r="E38" s="599">
        <v>2310.87</v>
      </c>
      <c r="F38" s="155"/>
      <c r="G38" s="154" t="s">
        <v>2116</v>
      </c>
      <c r="H38" s="598" t="s">
        <v>2113</v>
      </c>
      <c r="I38" s="458"/>
      <c r="J38" s="178"/>
    </row>
    <row r="39" spans="1:11" ht="20.100000000000001" customHeight="1" x14ac:dyDescent="0.2">
      <c r="A39" s="597">
        <f t="shared" si="0"/>
        <v>6</v>
      </c>
      <c r="B39" s="111">
        <v>6</v>
      </c>
      <c r="C39" s="71" t="str">
        <f t="shared" si="2"/>
        <v>Cumplimiento Manejo Ambiental</v>
      </c>
      <c r="D39" s="71" t="str">
        <f t="shared" si="1"/>
        <v>mes</v>
      </c>
      <c r="E39" s="599">
        <v>6</v>
      </c>
      <c r="F39" s="155"/>
      <c r="G39" s="154" t="s">
        <v>2117</v>
      </c>
      <c r="H39" s="598" t="s">
        <v>1476</v>
      </c>
      <c r="I39" s="458"/>
      <c r="J39" s="73"/>
    </row>
    <row r="40" spans="1:11" ht="20.100000000000001" customHeight="1" x14ac:dyDescent="0.2">
      <c r="A40" s="597">
        <f t="shared" si="0"/>
        <v>7</v>
      </c>
      <c r="B40" s="111">
        <v>7</v>
      </c>
      <c r="C40" s="71" t="str">
        <f>+G40</f>
        <v xml:space="preserve">Movilidad Para el Personal de la Dirección Provincial de Vialidad </v>
      </c>
      <c r="D40" s="71" t="str">
        <f t="shared" si="1"/>
        <v>-</v>
      </c>
      <c r="E40" s="599"/>
      <c r="F40" s="155"/>
      <c r="G40" s="154" t="s">
        <v>2129</v>
      </c>
      <c r="H40" s="598" t="s">
        <v>45</v>
      </c>
      <c r="I40" s="458"/>
      <c r="J40" s="73"/>
      <c r="K40" s="96"/>
    </row>
    <row r="41" spans="1:11" ht="20.100000000000001" customHeight="1" x14ac:dyDescent="0.2">
      <c r="A41" s="597">
        <f t="shared" si="0"/>
        <v>8</v>
      </c>
      <c r="B41" s="111" t="s">
        <v>2126</v>
      </c>
      <c r="C41" s="71" t="str">
        <f>+G41</f>
        <v>A) - Cuota Mensual</v>
      </c>
      <c r="D41" s="71" t="str">
        <f t="shared" si="1"/>
        <v>mes</v>
      </c>
      <c r="E41" s="599">
        <v>6</v>
      </c>
      <c r="F41" s="155"/>
      <c r="G41" s="154" t="s">
        <v>2131</v>
      </c>
      <c r="H41" s="598" t="s">
        <v>1476</v>
      </c>
      <c r="I41" s="458"/>
      <c r="J41" s="73"/>
      <c r="K41" s="96"/>
    </row>
    <row r="42" spans="1:11" ht="20.100000000000001" customHeight="1" x14ac:dyDescent="0.2">
      <c r="A42" s="597">
        <f t="shared" si="0"/>
        <v>9</v>
      </c>
      <c r="B42" s="111" t="s">
        <v>2127</v>
      </c>
      <c r="C42" s="71" t="str">
        <f t="shared" si="2"/>
        <v>B)- Adicional por Km.</v>
      </c>
      <c r="D42" s="71" t="str">
        <f t="shared" si="1"/>
        <v>Km.</v>
      </c>
      <c r="E42" s="599">
        <v>1020</v>
      </c>
      <c r="F42" s="155"/>
      <c r="G42" s="154" t="s">
        <v>2130</v>
      </c>
      <c r="H42" s="598" t="s">
        <v>2119</v>
      </c>
      <c r="I42" s="458"/>
      <c r="J42" s="73"/>
      <c r="K42" s="96"/>
    </row>
    <row r="43" spans="1:11" ht="20.100000000000001" customHeight="1" x14ac:dyDescent="0.2">
      <c r="A43" s="597">
        <f t="shared" si="0"/>
        <v>10</v>
      </c>
      <c r="B43" s="111">
        <v>8</v>
      </c>
      <c r="C43" s="71" t="str">
        <f t="shared" si="2"/>
        <v>Movilización de Obra</v>
      </c>
      <c r="D43" s="71" t="str">
        <f t="shared" si="1"/>
        <v>gl</v>
      </c>
      <c r="E43" s="599">
        <v>1</v>
      </c>
      <c r="F43" s="155"/>
      <c r="G43" s="154" t="s">
        <v>2118</v>
      </c>
      <c r="H43" s="598" t="s">
        <v>5</v>
      </c>
      <c r="I43" s="458"/>
      <c r="J43" s="73"/>
      <c r="K43" s="96"/>
    </row>
    <row r="44" spans="1:11" ht="20.100000000000001" customHeight="1" x14ac:dyDescent="0.2">
      <c r="A44" s="597">
        <f t="shared" si="0"/>
        <v>10</v>
      </c>
      <c r="B44" s="111"/>
      <c r="C44" s="71">
        <f t="shared" si="2"/>
        <v>0</v>
      </c>
      <c r="D44" s="109"/>
      <c r="E44" s="599"/>
      <c r="F44" s="155"/>
      <c r="G44" s="154"/>
      <c r="H44" s="598"/>
      <c r="I44" s="458"/>
      <c r="J44" s="73"/>
      <c r="K44" s="96"/>
    </row>
    <row r="45" spans="1:11" ht="20.100000000000001" customHeight="1" x14ac:dyDescent="0.2">
      <c r="A45" s="597">
        <f t="shared" si="0"/>
        <v>10</v>
      </c>
      <c r="B45" s="111"/>
      <c r="C45" s="71">
        <f t="shared" si="2"/>
        <v>0</v>
      </c>
      <c r="D45" s="109"/>
      <c r="E45" s="599"/>
      <c r="F45" s="155"/>
      <c r="G45" s="154"/>
      <c r="H45" s="598"/>
      <c r="I45" s="458"/>
      <c r="J45" s="73"/>
      <c r="K45" s="96"/>
    </row>
    <row r="46" spans="1:11" ht="20.100000000000001" customHeight="1" x14ac:dyDescent="0.2">
      <c r="A46" s="597">
        <f t="shared" si="0"/>
        <v>10</v>
      </c>
      <c r="B46" s="111"/>
      <c r="C46" s="71">
        <f t="shared" si="2"/>
        <v>0</v>
      </c>
      <c r="D46" s="109"/>
      <c r="E46" s="599"/>
      <c r="F46" s="155"/>
      <c r="G46" s="154"/>
      <c r="H46" s="598"/>
      <c r="I46" s="458"/>
      <c r="J46" s="73"/>
      <c r="K46" s="96"/>
    </row>
    <row r="47" spans="1:11" ht="20.100000000000001" customHeight="1" x14ac:dyDescent="0.2">
      <c r="A47" s="597">
        <f t="shared" si="0"/>
        <v>10</v>
      </c>
      <c r="B47" s="111"/>
      <c r="C47" s="71">
        <f t="shared" si="2"/>
        <v>0</v>
      </c>
      <c r="D47" s="109"/>
      <c r="E47" s="599"/>
      <c r="F47" s="155"/>
      <c r="G47" s="154"/>
      <c r="H47" s="598"/>
      <c r="I47" s="458"/>
      <c r="J47" s="73"/>
      <c r="K47" s="96"/>
    </row>
    <row r="48" spans="1:11" ht="20.100000000000001" customHeight="1" x14ac:dyDescent="0.2">
      <c r="A48" s="597">
        <f t="shared" si="0"/>
        <v>10</v>
      </c>
      <c r="B48" s="111"/>
      <c r="C48" s="71">
        <f t="shared" si="2"/>
        <v>0</v>
      </c>
      <c r="D48" s="109"/>
      <c r="E48" s="599"/>
      <c r="F48" s="155"/>
      <c r="G48" s="154"/>
      <c r="H48" s="598"/>
      <c r="I48" s="458"/>
      <c r="J48" s="73"/>
      <c r="K48" s="96"/>
    </row>
    <row r="49" spans="1:11" ht="20.100000000000001" customHeight="1" x14ac:dyDescent="0.2">
      <c r="A49" s="597">
        <f t="shared" si="0"/>
        <v>10</v>
      </c>
      <c r="B49" s="111"/>
      <c r="C49" s="71">
        <f t="shared" si="2"/>
        <v>0</v>
      </c>
      <c r="D49" s="109"/>
      <c r="E49" s="599"/>
      <c r="F49" s="155"/>
      <c r="G49" s="154"/>
      <c r="H49" s="598"/>
      <c r="I49" s="458"/>
      <c r="J49" s="73"/>
      <c r="K49" s="96"/>
    </row>
    <row r="50" spans="1:11" ht="20.100000000000001" customHeight="1" x14ac:dyDescent="0.2">
      <c r="A50" s="597">
        <f t="shared" si="0"/>
        <v>10</v>
      </c>
      <c r="B50" s="111"/>
      <c r="C50" s="71">
        <f t="shared" si="2"/>
        <v>0</v>
      </c>
      <c r="D50" s="109"/>
      <c r="E50" s="599"/>
      <c r="F50" s="155"/>
      <c r="G50" s="154"/>
      <c r="H50" s="598"/>
      <c r="I50" s="458"/>
      <c r="J50" s="73"/>
      <c r="K50" s="96"/>
    </row>
    <row r="51" spans="1:11" ht="20.100000000000001" customHeight="1" x14ac:dyDescent="0.2">
      <c r="A51" s="597">
        <f t="shared" si="0"/>
        <v>10</v>
      </c>
      <c r="B51" s="111"/>
      <c r="C51" s="71"/>
      <c r="D51" s="109"/>
      <c r="E51" s="599"/>
      <c r="F51" s="155"/>
      <c r="G51" s="154"/>
      <c r="H51" s="598"/>
      <c r="I51" s="458"/>
      <c r="J51" s="73"/>
      <c r="K51" s="96"/>
    </row>
    <row r="52" spans="1:11" ht="20.100000000000001" customHeight="1" x14ac:dyDescent="0.2">
      <c r="A52" s="597">
        <f t="shared" si="0"/>
        <v>10</v>
      </c>
      <c r="B52" s="111"/>
      <c r="C52" s="686"/>
      <c r="D52" s="109"/>
      <c r="E52" s="599"/>
      <c r="F52" s="155"/>
      <c r="G52" s="154"/>
      <c r="H52" s="598"/>
      <c r="I52" s="458"/>
      <c r="J52" s="73"/>
      <c r="K52" s="96"/>
    </row>
    <row r="53" spans="1:11" ht="20.100000000000001" customHeight="1" x14ac:dyDescent="0.2">
      <c r="A53" s="597">
        <f t="shared" si="0"/>
        <v>10</v>
      </c>
      <c r="B53" s="111"/>
      <c r="C53" s="71"/>
      <c r="D53" s="109"/>
      <c r="E53" s="599"/>
      <c r="F53" s="155"/>
      <c r="G53" s="154"/>
      <c r="H53" s="598"/>
      <c r="I53" s="458"/>
      <c r="J53" s="73"/>
      <c r="K53" s="96"/>
    </row>
    <row r="54" spans="1:11" ht="20.100000000000001" customHeight="1" x14ac:dyDescent="0.2">
      <c r="A54" s="597">
        <f t="shared" si="0"/>
        <v>10</v>
      </c>
      <c r="B54" s="111"/>
      <c r="C54" s="686"/>
      <c r="D54" s="109"/>
      <c r="E54" s="599"/>
      <c r="F54" s="155"/>
      <c r="G54" s="154"/>
      <c r="H54" s="598"/>
      <c r="I54" s="458"/>
      <c r="J54" s="73"/>
      <c r="K54" s="96"/>
    </row>
    <row r="55" spans="1:11" ht="20.100000000000001" customHeight="1" x14ac:dyDescent="0.2">
      <c r="A55" s="597">
        <f t="shared" si="0"/>
        <v>10</v>
      </c>
      <c r="B55" s="111"/>
      <c r="C55" s="71"/>
      <c r="D55" s="109"/>
      <c r="E55" s="599"/>
      <c r="F55" s="155"/>
      <c r="G55" s="154"/>
      <c r="H55" s="598"/>
      <c r="I55" s="458"/>
      <c r="J55" s="73"/>
      <c r="K55" s="96"/>
    </row>
    <row r="56" spans="1:11" ht="20.100000000000001" customHeight="1" x14ac:dyDescent="0.2">
      <c r="A56" s="597">
        <f t="shared" si="0"/>
        <v>10</v>
      </c>
      <c r="B56" s="111"/>
      <c r="C56" s="686"/>
      <c r="D56" s="109"/>
      <c r="E56" s="599"/>
      <c r="F56" s="155"/>
      <c r="G56" s="154"/>
      <c r="H56" s="598"/>
      <c r="I56" s="458"/>
      <c r="J56" s="73"/>
      <c r="K56" s="96"/>
    </row>
    <row r="57" spans="1:11" ht="20.100000000000001" customHeight="1" x14ac:dyDescent="0.2">
      <c r="A57" s="597">
        <f t="shared" si="0"/>
        <v>10</v>
      </c>
      <c r="B57" s="111"/>
      <c r="C57" s="71"/>
      <c r="D57" s="109"/>
      <c r="E57" s="599"/>
      <c r="F57" s="155"/>
      <c r="G57" s="154"/>
      <c r="H57" s="598"/>
      <c r="I57" s="458"/>
      <c r="J57" s="73"/>
    </row>
    <row r="58" spans="1:11" ht="20.100000000000001" customHeight="1" x14ac:dyDescent="0.2">
      <c r="A58" s="597">
        <f t="shared" si="0"/>
        <v>10</v>
      </c>
      <c r="B58" s="111"/>
      <c r="C58" s="71"/>
      <c r="D58" s="109"/>
      <c r="E58" s="599"/>
      <c r="F58" s="155"/>
      <c r="G58" s="154"/>
      <c r="H58" s="598"/>
      <c r="I58" s="458"/>
      <c r="J58" s="73"/>
    </row>
    <row r="59" spans="1:11" ht="20.100000000000001" customHeight="1" x14ac:dyDescent="0.2">
      <c r="A59" s="597">
        <f t="shared" si="0"/>
        <v>10</v>
      </c>
      <c r="B59" s="111"/>
      <c r="C59" s="71"/>
      <c r="D59" s="109"/>
      <c r="E59" s="599"/>
      <c r="F59" s="155"/>
      <c r="G59" s="154"/>
      <c r="H59" s="598"/>
      <c r="I59" s="458"/>
      <c r="J59" s="73"/>
    </row>
    <row r="60" spans="1:11" ht="20.100000000000001" customHeight="1" x14ac:dyDescent="0.2">
      <c r="A60" s="597">
        <f t="shared" si="0"/>
        <v>10</v>
      </c>
      <c r="B60" s="111"/>
      <c r="C60" s="686"/>
      <c r="D60" s="109"/>
      <c r="E60" s="599"/>
      <c r="F60" s="155"/>
      <c r="G60" s="154"/>
      <c r="H60" s="598"/>
      <c r="I60" s="458"/>
      <c r="J60" s="73"/>
    </row>
    <row r="61" spans="1:11" ht="20.100000000000001" customHeight="1" x14ac:dyDescent="0.2">
      <c r="A61" s="597">
        <f t="shared" si="0"/>
        <v>10</v>
      </c>
      <c r="B61" s="111"/>
      <c r="C61" s="71"/>
      <c r="D61" s="109"/>
      <c r="E61" s="599"/>
      <c r="F61" s="155"/>
      <c r="G61" s="154"/>
      <c r="H61" s="598"/>
      <c r="I61" s="458"/>
      <c r="J61" s="73"/>
    </row>
    <row r="62" spans="1:11" ht="20.100000000000001" customHeight="1" x14ac:dyDescent="0.2">
      <c r="A62" s="597">
        <f t="shared" si="0"/>
        <v>10</v>
      </c>
      <c r="B62" s="111"/>
      <c r="C62" s="71"/>
      <c r="D62" s="109"/>
      <c r="E62" s="599"/>
      <c r="F62" s="155"/>
      <c r="G62" s="154"/>
      <c r="H62" s="598"/>
      <c r="I62" s="458"/>
      <c r="J62" s="73"/>
    </row>
    <row r="63" spans="1:11" ht="20.100000000000001" customHeight="1" x14ac:dyDescent="0.2">
      <c r="A63" s="597">
        <f t="shared" si="0"/>
        <v>10</v>
      </c>
      <c r="B63" s="111"/>
      <c r="C63" s="71"/>
      <c r="D63" s="109"/>
      <c r="E63" s="599"/>
      <c r="F63" s="155"/>
      <c r="G63" s="154"/>
      <c r="H63" s="598"/>
      <c r="I63" s="458"/>
      <c r="J63" s="73"/>
    </row>
    <row r="64" spans="1:11" ht="20.100000000000001" customHeight="1" x14ac:dyDescent="0.2">
      <c r="A64" s="597">
        <f t="shared" si="0"/>
        <v>10</v>
      </c>
      <c r="B64" s="111"/>
      <c r="C64" s="71"/>
      <c r="D64" s="109"/>
      <c r="E64" s="599"/>
      <c r="F64" s="155"/>
      <c r="G64" s="154"/>
      <c r="H64" s="598"/>
      <c r="I64" s="458"/>
      <c r="J64" s="73"/>
    </row>
    <row r="65" spans="1:10" ht="20.100000000000001" customHeight="1" x14ac:dyDescent="0.2">
      <c r="A65" s="597">
        <f t="shared" si="0"/>
        <v>10</v>
      </c>
      <c r="B65" s="111"/>
      <c r="C65" s="71"/>
      <c r="D65" s="109"/>
      <c r="E65" s="599"/>
      <c r="F65" s="155"/>
      <c r="G65" s="154"/>
      <c r="H65" s="598"/>
      <c r="I65" s="458"/>
      <c r="J65" s="73"/>
    </row>
    <row r="66" spans="1:10" ht="20.100000000000001" customHeight="1" x14ac:dyDescent="0.2">
      <c r="A66" s="597">
        <f t="shared" si="0"/>
        <v>10</v>
      </c>
      <c r="B66" s="111"/>
      <c r="C66" s="71"/>
      <c r="D66" s="109"/>
      <c r="E66" s="599"/>
      <c r="F66" s="155"/>
      <c r="G66" s="154"/>
      <c r="H66" s="598"/>
      <c r="I66" s="458"/>
      <c r="J66" s="73"/>
    </row>
    <row r="67" spans="1:10" ht="20.100000000000001" customHeight="1" x14ac:dyDescent="0.2">
      <c r="A67" s="597">
        <f t="shared" si="0"/>
        <v>10</v>
      </c>
      <c r="B67" s="111"/>
      <c r="C67" s="71"/>
      <c r="D67" s="109"/>
      <c r="E67" s="599"/>
      <c r="F67" s="155"/>
      <c r="G67" s="154"/>
      <c r="H67" s="598"/>
      <c r="I67" s="458"/>
      <c r="J67" s="73"/>
    </row>
    <row r="68" spans="1:10" ht="20.100000000000001" customHeight="1" x14ac:dyDescent="0.2">
      <c r="A68" s="597">
        <f t="shared" si="0"/>
        <v>10</v>
      </c>
      <c r="B68" s="111"/>
      <c r="C68" s="71"/>
      <c r="D68" s="109"/>
      <c r="E68" s="599"/>
      <c r="F68" s="155"/>
      <c r="G68" s="154"/>
      <c r="H68" s="598"/>
      <c r="I68" s="458"/>
      <c r="J68" s="73"/>
    </row>
    <row r="69" spans="1:10" ht="20.100000000000001" customHeight="1" x14ac:dyDescent="0.2">
      <c r="A69" s="597">
        <f t="shared" si="0"/>
        <v>10</v>
      </c>
      <c r="B69" s="111"/>
      <c r="C69" s="71"/>
      <c r="D69" s="109"/>
      <c r="E69" s="599"/>
      <c r="F69" s="155"/>
      <c r="G69" s="154"/>
      <c r="H69" s="598"/>
      <c r="I69" s="458"/>
      <c r="J69" s="73"/>
    </row>
    <row r="70" spans="1:10" ht="20.100000000000001" customHeight="1" x14ac:dyDescent="0.2">
      <c r="A70" s="597">
        <f t="shared" si="0"/>
        <v>10</v>
      </c>
      <c r="B70" s="111"/>
      <c r="C70" s="71"/>
      <c r="D70" s="109"/>
      <c r="E70" s="599"/>
      <c r="F70" s="155"/>
      <c r="G70" s="154"/>
      <c r="H70" s="598"/>
      <c r="I70" s="458"/>
      <c r="J70" s="73"/>
    </row>
    <row r="71" spans="1:10" ht="20.100000000000001" customHeight="1" x14ac:dyDescent="0.2">
      <c r="A71" s="597">
        <f t="shared" si="0"/>
        <v>10</v>
      </c>
      <c r="B71" s="111"/>
      <c r="C71" s="71"/>
      <c r="D71" s="109"/>
      <c r="E71" s="599"/>
      <c r="F71" s="155"/>
      <c r="G71" s="154"/>
      <c r="H71" s="598"/>
      <c r="I71" s="458"/>
      <c r="J71" s="73"/>
    </row>
    <row r="72" spans="1:10" ht="20.100000000000001" customHeight="1" x14ac:dyDescent="0.2">
      <c r="A72" s="597">
        <f t="shared" si="0"/>
        <v>10</v>
      </c>
      <c r="B72" s="111"/>
      <c r="C72" s="71"/>
      <c r="D72" s="109"/>
      <c r="E72" s="599"/>
      <c r="F72" s="155"/>
      <c r="G72" s="154"/>
      <c r="H72" s="598"/>
      <c r="I72" s="458"/>
      <c r="J72" s="73"/>
    </row>
    <row r="73" spans="1:10" ht="20.100000000000001" customHeight="1" x14ac:dyDescent="0.2">
      <c r="A73" s="597">
        <f t="shared" si="0"/>
        <v>10</v>
      </c>
      <c r="B73" s="111"/>
      <c r="C73" s="686"/>
      <c r="D73" s="109"/>
      <c r="E73" s="599"/>
      <c r="F73" s="155"/>
      <c r="G73" s="154"/>
      <c r="H73" s="598"/>
      <c r="I73" s="458"/>
      <c r="J73" s="73"/>
    </row>
    <row r="74" spans="1:10" ht="20.100000000000001" customHeight="1" x14ac:dyDescent="0.2">
      <c r="A74" s="597">
        <f t="shared" si="0"/>
        <v>10</v>
      </c>
      <c r="B74" s="111"/>
      <c r="C74" s="71"/>
      <c r="D74" s="109"/>
      <c r="E74" s="599"/>
      <c r="F74" s="155"/>
      <c r="G74" s="154"/>
      <c r="H74" s="598"/>
      <c r="I74" s="458"/>
      <c r="J74" s="73"/>
    </row>
    <row r="75" spans="1:10" ht="20.100000000000001" customHeight="1" x14ac:dyDescent="0.2">
      <c r="A75" s="597">
        <f t="shared" si="0"/>
        <v>10</v>
      </c>
      <c r="B75" s="111"/>
      <c r="C75" s="686"/>
      <c r="D75" s="109"/>
      <c r="E75" s="599"/>
      <c r="F75" s="155"/>
      <c r="G75" s="154"/>
      <c r="H75" s="598"/>
      <c r="I75" s="458"/>
      <c r="J75" s="73"/>
    </row>
    <row r="76" spans="1:10" ht="20.100000000000001" customHeight="1" x14ac:dyDescent="0.2">
      <c r="A76" s="597">
        <f t="shared" si="0"/>
        <v>10</v>
      </c>
      <c r="B76" s="111"/>
      <c r="C76" s="686"/>
      <c r="D76" s="109"/>
      <c r="E76" s="599"/>
      <c r="F76" s="155"/>
      <c r="G76" s="154"/>
      <c r="H76" s="598"/>
      <c r="I76" s="458"/>
      <c r="J76" s="73"/>
    </row>
    <row r="77" spans="1:10" ht="20.100000000000001" customHeight="1" x14ac:dyDescent="0.2">
      <c r="A77" s="597">
        <f t="shared" si="0"/>
        <v>10</v>
      </c>
      <c r="B77" s="111"/>
      <c r="C77" s="71"/>
      <c r="D77" s="109"/>
      <c r="E77" s="599"/>
      <c r="F77" s="155"/>
      <c r="G77" s="154"/>
      <c r="H77" s="598"/>
      <c r="I77" s="458"/>
      <c r="J77" s="73"/>
    </row>
    <row r="78" spans="1:10" ht="20.100000000000001" customHeight="1" x14ac:dyDescent="0.2">
      <c r="A78" s="597">
        <f t="shared" si="0"/>
        <v>10</v>
      </c>
      <c r="B78" s="111"/>
      <c r="C78" s="71"/>
      <c r="D78" s="109"/>
      <c r="E78" s="599"/>
      <c r="F78" s="155"/>
      <c r="G78" s="154"/>
      <c r="H78" s="598"/>
      <c r="I78" s="458"/>
      <c r="J78" s="73"/>
    </row>
    <row r="79" spans="1:10" ht="20.100000000000001" customHeight="1" x14ac:dyDescent="0.2">
      <c r="A79" s="597">
        <f t="shared" si="0"/>
        <v>10</v>
      </c>
      <c r="B79" s="111"/>
      <c r="C79" s="71"/>
      <c r="D79" s="109"/>
      <c r="E79" s="599"/>
      <c r="F79" s="155"/>
      <c r="G79" s="154"/>
      <c r="H79" s="598"/>
      <c r="I79" s="458"/>
      <c r="J79" s="73"/>
    </row>
    <row r="80" spans="1:10" ht="20.100000000000001" customHeight="1" x14ac:dyDescent="0.2">
      <c r="A80" s="597">
        <f t="shared" si="0"/>
        <v>10</v>
      </c>
      <c r="B80" s="111"/>
      <c r="C80" s="71"/>
      <c r="D80" s="109"/>
      <c r="E80" s="599"/>
      <c r="F80" s="155"/>
      <c r="G80" s="154"/>
      <c r="H80" s="598"/>
      <c r="I80" s="458"/>
      <c r="J80" s="73"/>
    </row>
    <row r="81" spans="1:10" ht="20.100000000000001" customHeight="1" x14ac:dyDescent="0.2">
      <c r="A81" s="597">
        <f t="shared" si="0"/>
        <v>10</v>
      </c>
      <c r="B81" s="111"/>
      <c r="C81" s="71"/>
      <c r="D81" s="109"/>
      <c r="E81" s="599"/>
      <c r="F81" s="155"/>
      <c r="G81" s="154"/>
      <c r="H81" s="598"/>
      <c r="I81" s="458"/>
      <c r="J81" s="73"/>
    </row>
    <row r="82" spans="1:10" ht="20.100000000000001" customHeight="1" x14ac:dyDescent="0.2">
      <c r="A82" s="597">
        <f t="shared" si="0"/>
        <v>10</v>
      </c>
      <c r="B82" s="111"/>
      <c r="C82" s="71"/>
      <c r="D82" s="109"/>
      <c r="E82" s="599"/>
      <c r="F82" s="155"/>
      <c r="G82" s="154"/>
      <c r="H82" s="598"/>
      <c r="I82" s="458"/>
      <c r="J82" s="73"/>
    </row>
    <row r="83" spans="1:10" ht="20.100000000000001" customHeight="1" x14ac:dyDescent="0.2">
      <c r="A83" s="597">
        <f t="shared" si="0"/>
        <v>10</v>
      </c>
      <c r="B83" s="111"/>
      <c r="C83" s="686"/>
      <c r="D83" s="109"/>
      <c r="E83" s="599"/>
      <c r="F83" s="155"/>
      <c r="G83" s="154"/>
      <c r="H83" s="598"/>
      <c r="I83" s="458"/>
      <c r="J83" s="73"/>
    </row>
    <row r="84" spans="1:10" ht="20.100000000000001" customHeight="1" x14ac:dyDescent="0.2">
      <c r="A84" s="597">
        <f t="shared" si="0"/>
        <v>10</v>
      </c>
      <c r="B84" s="111"/>
      <c r="C84" s="71"/>
      <c r="D84" s="109"/>
      <c r="E84" s="599"/>
      <c r="F84" s="155"/>
      <c r="G84" s="154"/>
      <c r="H84" s="598"/>
      <c r="I84" s="458"/>
      <c r="J84" s="73"/>
    </row>
    <row r="85" spans="1:10" ht="20.100000000000001" customHeight="1" x14ac:dyDescent="0.2">
      <c r="A85" s="597">
        <f t="shared" si="0"/>
        <v>10</v>
      </c>
      <c r="B85" s="111"/>
      <c r="C85" s="71"/>
      <c r="D85" s="109"/>
      <c r="E85" s="599"/>
      <c r="F85" s="155"/>
      <c r="G85" s="154"/>
      <c r="H85" s="598"/>
      <c r="I85" s="458"/>
      <c r="J85" s="73"/>
    </row>
    <row r="86" spans="1:10" ht="20.100000000000001" customHeight="1" x14ac:dyDescent="0.2">
      <c r="A86" s="597">
        <f t="shared" si="0"/>
        <v>10</v>
      </c>
      <c r="B86" s="111"/>
      <c r="C86" s="71"/>
      <c r="D86" s="109"/>
      <c r="E86" s="599"/>
      <c r="F86" s="155"/>
      <c r="G86" s="154"/>
      <c r="H86" s="598"/>
      <c r="I86" s="458"/>
      <c r="J86" s="73"/>
    </row>
    <row r="87" spans="1:10" ht="20.100000000000001" customHeight="1" x14ac:dyDescent="0.2">
      <c r="A87" s="597">
        <f t="shared" si="0"/>
        <v>10</v>
      </c>
      <c r="B87" s="111"/>
      <c r="C87" s="686"/>
      <c r="D87" s="109"/>
      <c r="E87" s="599"/>
      <c r="F87" s="155"/>
      <c r="G87" s="154"/>
      <c r="H87" s="598"/>
      <c r="I87" s="458"/>
      <c r="J87" s="73"/>
    </row>
    <row r="88" spans="1:10" ht="20.100000000000001" customHeight="1" x14ac:dyDescent="0.2">
      <c r="A88" s="597">
        <f t="shared" si="0"/>
        <v>10</v>
      </c>
      <c r="B88" s="111"/>
      <c r="C88" s="71"/>
      <c r="D88" s="109"/>
      <c r="E88" s="599"/>
      <c r="F88" s="155"/>
      <c r="G88" s="154"/>
      <c r="H88" s="598"/>
      <c r="I88" s="458"/>
      <c r="J88" s="73"/>
    </row>
    <row r="89" spans="1:10" ht="20.100000000000001" customHeight="1" x14ac:dyDescent="0.2">
      <c r="A89" s="597">
        <f t="shared" si="0"/>
        <v>10</v>
      </c>
      <c r="B89" s="111"/>
      <c r="C89" s="686"/>
      <c r="D89" s="109"/>
      <c r="E89" s="599"/>
      <c r="F89" s="155"/>
      <c r="G89" s="154"/>
      <c r="H89" s="598"/>
      <c r="I89" s="458"/>
      <c r="J89" s="73"/>
    </row>
    <row r="90" spans="1:10" ht="20.100000000000001" customHeight="1" x14ac:dyDescent="0.2">
      <c r="A90" s="597">
        <f t="shared" si="0"/>
        <v>10</v>
      </c>
      <c r="B90" s="111"/>
      <c r="C90" s="71"/>
      <c r="D90" s="109"/>
      <c r="E90" s="599"/>
      <c r="F90" s="155"/>
      <c r="G90" s="154"/>
      <c r="H90" s="598"/>
      <c r="I90" s="458"/>
      <c r="J90" s="73"/>
    </row>
    <row r="91" spans="1:10" ht="20.100000000000001" customHeight="1" x14ac:dyDescent="0.2">
      <c r="A91" s="597">
        <f t="shared" si="0"/>
        <v>10</v>
      </c>
      <c r="B91" s="111"/>
      <c r="C91" s="71"/>
      <c r="D91" s="109"/>
      <c r="E91" s="599"/>
      <c r="F91" s="155"/>
      <c r="G91" s="154"/>
      <c r="H91" s="598"/>
      <c r="I91" s="458"/>
      <c r="J91" s="73"/>
    </row>
    <row r="92" spans="1:10" ht="20.100000000000001" customHeight="1" x14ac:dyDescent="0.2">
      <c r="A92" s="597">
        <f t="shared" si="0"/>
        <v>10</v>
      </c>
      <c r="B92" s="111"/>
      <c r="C92" s="71"/>
      <c r="D92" s="109"/>
      <c r="E92" s="599"/>
      <c r="F92" s="155"/>
      <c r="G92" s="154"/>
      <c r="H92" s="598"/>
      <c r="I92" s="458"/>
      <c r="J92" s="73"/>
    </row>
    <row r="93" spans="1:10" ht="20.100000000000001" customHeight="1" x14ac:dyDescent="0.2">
      <c r="A93" s="597">
        <f t="shared" si="0"/>
        <v>10</v>
      </c>
      <c r="B93" s="111"/>
      <c r="C93" s="686"/>
      <c r="D93" s="109"/>
      <c r="E93" s="599"/>
      <c r="F93" s="155"/>
      <c r="G93" s="154"/>
      <c r="H93" s="598"/>
      <c r="I93" s="458"/>
      <c r="J93" s="73"/>
    </row>
    <row r="94" spans="1:10" ht="20.100000000000001" customHeight="1" x14ac:dyDescent="0.2">
      <c r="A94" s="597">
        <f t="shared" si="0"/>
        <v>10</v>
      </c>
      <c r="B94" s="111"/>
      <c r="C94" s="686"/>
      <c r="D94" s="109"/>
      <c r="E94" s="599"/>
      <c r="F94" s="155"/>
      <c r="G94" s="154"/>
      <c r="H94" s="598"/>
      <c r="I94" s="458"/>
      <c r="J94" s="73"/>
    </row>
    <row r="95" spans="1:10" ht="20.100000000000001" customHeight="1" x14ac:dyDescent="0.2">
      <c r="A95" s="597">
        <f t="shared" si="0"/>
        <v>10</v>
      </c>
      <c r="B95" s="111"/>
      <c r="C95" s="71"/>
      <c r="D95" s="109"/>
      <c r="E95" s="599"/>
      <c r="F95" s="155"/>
      <c r="G95" s="154"/>
      <c r="H95" s="598"/>
      <c r="I95" s="458"/>
      <c r="J95" s="73"/>
    </row>
    <row r="96" spans="1:10" ht="20.100000000000001" customHeight="1" x14ac:dyDescent="0.2">
      <c r="A96" s="597">
        <f t="shared" si="0"/>
        <v>10</v>
      </c>
      <c r="B96" s="111"/>
      <c r="C96" s="71"/>
      <c r="D96" s="109"/>
      <c r="E96" s="599"/>
      <c r="F96" s="155"/>
      <c r="G96" s="154"/>
      <c r="H96" s="598"/>
      <c r="I96" s="458"/>
      <c r="J96" s="73"/>
    </row>
    <row r="97" spans="1:10" ht="20.100000000000001" customHeight="1" x14ac:dyDescent="0.2">
      <c r="A97" s="597">
        <f t="shared" si="0"/>
        <v>10</v>
      </c>
      <c r="B97" s="111"/>
      <c r="C97" s="71"/>
      <c r="D97" s="109"/>
      <c r="E97" s="599"/>
      <c r="F97" s="155"/>
      <c r="G97" s="154"/>
      <c r="H97" s="598"/>
      <c r="I97" s="458"/>
      <c r="J97" s="73"/>
    </row>
    <row r="98" spans="1:10" ht="20.100000000000001" customHeight="1" x14ac:dyDescent="0.2">
      <c r="A98" s="597">
        <f t="shared" si="0"/>
        <v>10</v>
      </c>
      <c r="B98" s="111"/>
      <c r="C98" s="71"/>
      <c r="D98" s="109"/>
      <c r="E98" s="599"/>
      <c r="F98" s="155"/>
      <c r="G98" s="154"/>
      <c r="H98" s="598"/>
      <c r="I98" s="458"/>
      <c r="J98" s="73"/>
    </row>
    <row r="99" spans="1:10" ht="20.100000000000001" customHeight="1" x14ac:dyDescent="0.2">
      <c r="A99" s="597">
        <f>IF(D99=0,A98,A98+1)</f>
        <v>10</v>
      </c>
      <c r="B99" s="111"/>
      <c r="C99" s="686"/>
      <c r="D99" s="109"/>
      <c r="E99" s="599"/>
      <c r="F99" s="155"/>
      <c r="G99" s="154"/>
      <c r="H99" s="598"/>
      <c r="I99" s="458"/>
      <c r="J99" s="73"/>
    </row>
    <row r="100" spans="1:10" ht="20.100000000000001" customHeight="1" x14ac:dyDescent="0.2">
      <c r="A100" s="597">
        <f t="shared" ref="A100:A162" si="3">IF(D100=0,A99,A99+1)</f>
        <v>10</v>
      </c>
      <c r="B100" s="111"/>
      <c r="C100" s="71"/>
      <c r="D100" s="109"/>
      <c r="E100" s="599"/>
      <c r="F100" s="155"/>
      <c r="G100" s="154"/>
      <c r="H100" s="598"/>
      <c r="I100" s="458"/>
      <c r="J100" s="73"/>
    </row>
    <row r="101" spans="1:10" ht="20.100000000000001" customHeight="1" x14ac:dyDescent="0.2">
      <c r="A101" s="597">
        <f t="shared" si="3"/>
        <v>10</v>
      </c>
      <c r="B101" s="111"/>
      <c r="C101" s="71"/>
      <c r="D101" s="109"/>
      <c r="E101" s="599"/>
      <c r="F101" s="155"/>
      <c r="G101" s="154"/>
      <c r="H101" s="598"/>
      <c r="I101" s="458"/>
      <c r="J101" s="73"/>
    </row>
    <row r="102" spans="1:10" ht="20.100000000000001" customHeight="1" x14ac:dyDescent="0.2">
      <c r="A102" s="597">
        <f t="shared" si="3"/>
        <v>10</v>
      </c>
      <c r="B102" s="111"/>
      <c r="C102" s="71"/>
      <c r="D102" s="109"/>
      <c r="E102" s="599"/>
      <c r="F102" s="155"/>
      <c r="G102" s="154"/>
      <c r="H102" s="598"/>
      <c r="I102" s="458"/>
      <c r="J102" s="73"/>
    </row>
    <row r="103" spans="1:10" ht="20.100000000000001" customHeight="1" x14ac:dyDescent="0.2">
      <c r="A103" s="597">
        <f t="shared" si="3"/>
        <v>10</v>
      </c>
      <c r="B103" s="111"/>
      <c r="C103" s="71"/>
      <c r="D103" s="109"/>
      <c r="E103" s="599"/>
      <c r="F103" s="155"/>
      <c r="G103" s="154"/>
      <c r="H103" s="598"/>
      <c r="I103" s="458"/>
      <c r="J103" s="73"/>
    </row>
    <row r="104" spans="1:10" ht="20.100000000000001" customHeight="1" x14ac:dyDescent="0.2">
      <c r="A104" s="597">
        <f t="shared" si="3"/>
        <v>10</v>
      </c>
      <c r="B104" s="111"/>
      <c r="C104" s="686"/>
      <c r="D104" s="109"/>
      <c r="E104" s="599"/>
      <c r="F104" s="155"/>
      <c r="G104" s="154"/>
      <c r="H104" s="598"/>
      <c r="I104" s="458"/>
      <c r="J104" s="73"/>
    </row>
    <row r="105" spans="1:10" ht="20.100000000000001" customHeight="1" x14ac:dyDescent="0.2">
      <c r="A105" s="597">
        <f t="shared" si="3"/>
        <v>10</v>
      </c>
      <c r="B105" s="111"/>
      <c r="C105" s="71"/>
      <c r="D105" s="109"/>
      <c r="E105" s="599"/>
      <c r="F105" s="155"/>
      <c r="G105" s="154"/>
      <c r="H105" s="598"/>
      <c r="I105" s="458"/>
      <c r="J105" s="73"/>
    </row>
    <row r="106" spans="1:10" ht="20.100000000000001" customHeight="1" x14ac:dyDescent="0.2">
      <c r="A106" s="597">
        <f t="shared" si="3"/>
        <v>10</v>
      </c>
      <c r="B106" s="111"/>
      <c r="C106" s="71"/>
      <c r="D106" s="109"/>
      <c r="E106" s="599"/>
      <c r="F106" s="155"/>
      <c r="G106" s="154"/>
      <c r="H106" s="598"/>
      <c r="I106" s="458"/>
      <c r="J106" s="73"/>
    </row>
    <row r="107" spans="1:10" ht="20.100000000000001" customHeight="1" x14ac:dyDescent="0.2">
      <c r="A107" s="597">
        <f t="shared" si="3"/>
        <v>10</v>
      </c>
      <c r="B107" s="111"/>
      <c r="C107" s="686"/>
      <c r="D107" s="109"/>
      <c r="E107" s="599"/>
      <c r="F107" s="155"/>
      <c r="G107" s="154"/>
      <c r="H107" s="598"/>
      <c r="I107" s="458"/>
      <c r="J107" s="73"/>
    </row>
    <row r="108" spans="1:10" ht="20.100000000000001" customHeight="1" x14ac:dyDescent="0.2">
      <c r="A108" s="597">
        <f t="shared" si="3"/>
        <v>10</v>
      </c>
      <c r="B108" s="111"/>
      <c r="C108" s="71"/>
      <c r="D108" s="109"/>
      <c r="E108" s="599"/>
      <c r="F108" s="155"/>
      <c r="G108" s="154"/>
      <c r="H108" s="598"/>
      <c r="I108" s="458"/>
      <c r="J108" s="73"/>
    </row>
    <row r="109" spans="1:10" ht="20.100000000000001" customHeight="1" x14ac:dyDescent="0.2">
      <c r="A109" s="597">
        <f t="shared" si="3"/>
        <v>10</v>
      </c>
      <c r="B109" s="111"/>
      <c r="C109" s="71"/>
      <c r="D109" s="109"/>
      <c r="E109" s="599"/>
      <c r="F109" s="155"/>
      <c r="G109" s="154"/>
      <c r="H109" s="598"/>
      <c r="I109" s="458"/>
      <c r="J109" s="73"/>
    </row>
    <row r="110" spans="1:10" ht="20.100000000000001" customHeight="1" x14ac:dyDescent="0.2">
      <c r="A110" s="597">
        <f t="shared" si="3"/>
        <v>10</v>
      </c>
      <c r="B110" s="111"/>
      <c r="C110" s="71"/>
      <c r="D110" s="109"/>
      <c r="E110" s="599"/>
      <c r="F110" s="155"/>
      <c r="G110" s="154"/>
      <c r="H110" s="598"/>
      <c r="I110" s="458"/>
      <c r="J110" s="73"/>
    </row>
    <row r="111" spans="1:10" ht="20.100000000000001" customHeight="1" x14ac:dyDescent="0.2">
      <c r="A111" s="597">
        <f t="shared" si="3"/>
        <v>10</v>
      </c>
      <c r="B111" s="111"/>
      <c r="C111" s="71"/>
      <c r="D111" s="109"/>
      <c r="E111" s="599"/>
      <c r="F111" s="155"/>
      <c r="G111" s="154"/>
      <c r="H111" s="598"/>
      <c r="I111" s="458"/>
      <c r="J111" s="73"/>
    </row>
    <row r="112" spans="1:10" ht="20.100000000000001" customHeight="1" x14ac:dyDescent="0.2">
      <c r="A112" s="597">
        <f t="shared" si="3"/>
        <v>10</v>
      </c>
      <c r="B112" s="111"/>
      <c r="C112" s="71"/>
      <c r="D112" s="109"/>
      <c r="E112" s="599"/>
      <c r="F112" s="155"/>
      <c r="G112" s="154"/>
      <c r="H112" s="598"/>
      <c r="I112" s="458"/>
      <c r="J112" s="73"/>
    </row>
    <row r="113" spans="1:10" ht="20.100000000000001" customHeight="1" x14ac:dyDescent="0.2">
      <c r="A113" s="597">
        <f t="shared" si="3"/>
        <v>10</v>
      </c>
      <c r="B113" s="111"/>
      <c r="C113" s="71"/>
      <c r="D113" s="109"/>
      <c r="E113" s="599"/>
      <c r="F113" s="155"/>
      <c r="G113" s="154"/>
      <c r="H113" s="598"/>
      <c r="I113" s="458"/>
      <c r="J113" s="73"/>
    </row>
    <row r="114" spans="1:10" ht="20.100000000000001" customHeight="1" x14ac:dyDescent="0.2">
      <c r="A114" s="597">
        <f t="shared" si="3"/>
        <v>10</v>
      </c>
      <c r="B114" s="111"/>
      <c r="C114" s="71"/>
      <c r="D114" s="109"/>
      <c r="E114" s="599"/>
      <c r="F114" s="155"/>
      <c r="G114" s="154"/>
      <c r="H114" s="598"/>
      <c r="I114" s="458"/>
      <c r="J114" s="73"/>
    </row>
    <row r="115" spans="1:10" ht="20.100000000000001" customHeight="1" x14ac:dyDescent="0.2">
      <c r="A115" s="597">
        <f t="shared" si="3"/>
        <v>10</v>
      </c>
      <c r="B115" s="111"/>
      <c r="C115" s="71"/>
      <c r="D115" s="109"/>
      <c r="E115" s="599"/>
      <c r="F115" s="155"/>
      <c r="G115" s="154"/>
      <c r="H115" s="598"/>
      <c r="I115" s="458"/>
      <c r="J115" s="73"/>
    </row>
    <row r="116" spans="1:10" ht="20.100000000000001" customHeight="1" x14ac:dyDescent="0.2">
      <c r="A116" s="597">
        <f t="shared" si="3"/>
        <v>10</v>
      </c>
      <c r="B116" s="111"/>
      <c r="C116" s="71"/>
      <c r="D116" s="109"/>
      <c r="E116" s="599"/>
      <c r="F116" s="155"/>
      <c r="G116" s="154"/>
      <c r="H116" s="598"/>
      <c r="I116" s="458"/>
      <c r="J116" s="73"/>
    </row>
    <row r="117" spans="1:10" ht="30" customHeight="1" x14ac:dyDescent="0.2">
      <c r="A117" s="597">
        <f t="shared" si="3"/>
        <v>10</v>
      </c>
      <c r="B117" s="111"/>
      <c r="C117" s="687"/>
      <c r="D117" s="109"/>
      <c r="E117" s="599"/>
      <c r="F117" s="155"/>
      <c r="G117" s="154"/>
      <c r="H117" s="598"/>
      <c r="I117" s="458"/>
      <c r="J117" s="73"/>
    </row>
    <row r="118" spans="1:10" ht="26.25" customHeight="1" x14ac:dyDescent="0.2">
      <c r="A118" s="597">
        <f t="shared" si="3"/>
        <v>10</v>
      </c>
      <c r="B118" s="111"/>
      <c r="C118" s="686"/>
      <c r="D118" s="109"/>
      <c r="E118" s="599"/>
      <c r="F118" s="155"/>
      <c r="G118" s="154"/>
      <c r="H118" s="598"/>
      <c r="I118" s="458"/>
      <c r="J118" s="73"/>
    </row>
    <row r="119" spans="1:10" ht="20.100000000000001" customHeight="1" x14ac:dyDescent="0.2">
      <c r="A119" s="597">
        <f t="shared" si="3"/>
        <v>10</v>
      </c>
      <c r="B119" s="111"/>
      <c r="C119" s="71"/>
      <c r="D119" s="109"/>
      <c r="E119" s="599"/>
      <c r="F119" s="155"/>
      <c r="G119" s="154"/>
      <c r="H119" s="598"/>
      <c r="I119" s="458"/>
      <c r="J119" s="73"/>
    </row>
    <row r="120" spans="1:10" ht="20.100000000000001" customHeight="1" x14ac:dyDescent="0.2">
      <c r="A120" s="597">
        <f t="shared" si="3"/>
        <v>10</v>
      </c>
      <c r="B120" s="111"/>
      <c r="C120" s="71"/>
      <c r="D120" s="109"/>
      <c r="E120" s="599"/>
      <c r="F120" s="155"/>
      <c r="G120" s="154"/>
      <c r="H120" s="598"/>
      <c r="I120" s="458"/>
      <c r="J120" s="73"/>
    </row>
    <row r="121" spans="1:10" ht="20.100000000000001" customHeight="1" x14ac:dyDescent="0.2">
      <c r="A121" s="597">
        <f t="shared" si="3"/>
        <v>10</v>
      </c>
      <c r="B121" s="111"/>
      <c r="C121" s="686"/>
      <c r="D121" s="109"/>
      <c r="E121" s="599"/>
      <c r="F121" s="155"/>
      <c r="G121" s="154"/>
      <c r="H121" s="598"/>
      <c r="I121" s="458"/>
      <c r="J121" s="73"/>
    </row>
    <row r="122" spans="1:10" ht="20.100000000000001" customHeight="1" x14ac:dyDescent="0.2">
      <c r="A122" s="597">
        <f t="shared" si="3"/>
        <v>10</v>
      </c>
      <c r="B122" s="111"/>
      <c r="C122" s="71"/>
      <c r="D122" s="109"/>
      <c r="E122" s="599"/>
      <c r="F122" s="155"/>
      <c r="G122" s="154"/>
      <c r="H122" s="598"/>
      <c r="I122" s="458"/>
      <c r="J122" s="73"/>
    </row>
    <row r="123" spans="1:10" ht="20.100000000000001" customHeight="1" x14ac:dyDescent="0.2">
      <c r="A123" s="597">
        <f t="shared" si="3"/>
        <v>10</v>
      </c>
      <c r="B123" s="111"/>
      <c r="C123" s="71"/>
      <c r="D123" s="109"/>
      <c r="E123" s="599"/>
      <c r="F123" s="155"/>
      <c r="G123" s="154"/>
      <c r="H123" s="598"/>
      <c r="I123" s="458"/>
      <c r="J123" s="73"/>
    </row>
    <row r="124" spans="1:10" ht="20.100000000000001" customHeight="1" x14ac:dyDescent="0.2">
      <c r="A124" s="597">
        <f t="shared" si="3"/>
        <v>10</v>
      </c>
      <c r="B124" s="111"/>
      <c r="C124" s="71"/>
      <c r="D124" s="109"/>
      <c r="E124" s="599"/>
      <c r="F124" s="155"/>
      <c r="G124" s="154"/>
      <c r="H124" s="598"/>
      <c r="I124" s="458"/>
      <c r="J124" s="73"/>
    </row>
    <row r="125" spans="1:10" ht="20.100000000000001" customHeight="1" x14ac:dyDescent="0.2">
      <c r="A125" s="597">
        <f t="shared" si="3"/>
        <v>10</v>
      </c>
      <c r="B125" s="111"/>
      <c r="C125" s="71"/>
      <c r="D125" s="109"/>
      <c r="E125" s="599"/>
      <c r="F125" s="155"/>
      <c r="G125" s="154"/>
      <c r="H125" s="598"/>
      <c r="I125" s="458"/>
      <c r="J125" s="73"/>
    </row>
    <row r="126" spans="1:10" ht="20.100000000000001" customHeight="1" x14ac:dyDescent="0.2">
      <c r="A126" s="597">
        <f t="shared" si="3"/>
        <v>10</v>
      </c>
      <c r="B126" s="111"/>
      <c r="C126" s="71"/>
      <c r="D126" s="109"/>
      <c r="E126" s="599"/>
      <c r="F126" s="155"/>
      <c r="G126" s="154"/>
      <c r="H126" s="598"/>
      <c r="I126" s="458"/>
      <c r="J126" s="73"/>
    </row>
    <row r="127" spans="1:10" ht="20.100000000000001" customHeight="1" x14ac:dyDescent="0.2">
      <c r="A127" s="597">
        <f t="shared" si="3"/>
        <v>10</v>
      </c>
      <c r="B127" s="111"/>
      <c r="C127" s="71"/>
      <c r="D127" s="109"/>
      <c r="E127" s="599"/>
      <c r="F127" s="155"/>
      <c r="G127" s="154"/>
      <c r="H127" s="598"/>
      <c r="I127" s="458"/>
      <c r="J127" s="73"/>
    </row>
    <row r="128" spans="1:10" ht="20.100000000000001" customHeight="1" x14ac:dyDescent="0.2">
      <c r="A128" s="597">
        <f t="shared" si="3"/>
        <v>10</v>
      </c>
      <c r="B128" s="111"/>
      <c r="C128" s="71"/>
      <c r="D128" s="109"/>
      <c r="E128" s="599"/>
      <c r="F128" s="155"/>
      <c r="G128" s="154"/>
      <c r="H128" s="598"/>
      <c r="I128" s="458"/>
      <c r="J128" s="73"/>
    </row>
    <row r="129" spans="1:10" ht="20.100000000000001" customHeight="1" x14ac:dyDescent="0.2">
      <c r="A129" s="597">
        <f t="shared" si="3"/>
        <v>10</v>
      </c>
      <c r="B129" s="111"/>
      <c r="C129" s="71"/>
      <c r="D129" s="109"/>
      <c r="E129" s="599"/>
      <c r="F129" s="155"/>
      <c r="G129" s="154"/>
      <c r="H129" s="598"/>
      <c r="I129" s="458"/>
      <c r="J129" s="73"/>
    </row>
    <row r="130" spans="1:10" ht="20.100000000000001" customHeight="1" x14ac:dyDescent="0.2">
      <c r="A130" s="597">
        <f t="shared" si="3"/>
        <v>10</v>
      </c>
      <c r="B130" s="111"/>
      <c r="C130" s="686"/>
      <c r="D130" s="109"/>
      <c r="E130" s="599"/>
      <c r="F130" s="155"/>
      <c r="G130" s="154"/>
      <c r="H130" s="598"/>
      <c r="I130" s="458"/>
      <c r="J130" s="73"/>
    </row>
    <row r="131" spans="1:10" ht="20.100000000000001" customHeight="1" x14ac:dyDescent="0.2">
      <c r="A131" s="597">
        <f t="shared" si="3"/>
        <v>10</v>
      </c>
      <c r="B131" s="111"/>
      <c r="C131" s="71"/>
      <c r="D131" s="109"/>
      <c r="E131" s="599"/>
      <c r="F131" s="155"/>
      <c r="G131" s="154"/>
      <c r="H131" s="598"/>
      <c r="I131" s="458"/>
      <c r="J131" s="73"/>
    </row>
    <row r="132" spans="1:10" ht="20.100000000000001" customHeight="1" x14ac:dyDescent="0.2">
      <c r="A132" s="597">
        <f t="shared" si="3"/>
        <v>10</v>
      </c>
      <c r="B132" s="111"/>
      <c r="C132" s="71"/>
      <c r="D132" s="109"/>
      <c r="E132" s="599"/>
      <c r="F132" s="155"/>
      <c r="G132" s="154"/>
      <c r="H132" s="598"/>
      <c r="I132" s="458"/>
      <c r="J132" s="73"/>
    </row>
    <row r="133" spans="1:10" ht="20.100000000000001" customHeight="1" x14ac:dyDescent="0.2">
      <c r="A133" s="597">
        <f t="shared" si="3"/>
        <v>10</v>
      </c>
      <c r="B133" s="111"/>
      <c r="C133" s="71"/>
      <c r="D133" s="109"/>
      <c r="E133" s="599"/>
      <c r="F133" s="155"/>
      <c r="G133" s="154"/>
      <c r="H133" s="598"/>
      <c r="I133" s="458"/>
      <c r="J133" s="73"/>
    </row>
    <row r="134" spans="1:10" ht="20.100000000000001" customHeight="1" x14ac:dyDescent="0.2">
      <c r="A134" s="597">
        <f t="shared" si="3"/>
        <v>10</v>
      </c>
      <c r="B134" s="111"/>
      <c r="C134" s="71"/>
      <c r="D134" s="109"/>
      <c r="E134" s="599"/>
      <c r="F134" s="155"/>
      <c r="G134" s="154"/>
      <c r="H134" s="598"/>
      <c r="I134" s="458"/>
      <c r="J134" s="73"/>
    </row>
    <row r="135" spans="1:10" ht="20.100000000000001" customHeight="1" x14ac:dyDescent="0.2">
      <c r="A135" s="597">
        <f t="shared" si="3"/>
        <v>10</v>
      </c>
      <c r="B135" s="111"/>
      <c r="C135" s="71"/>
      <c r="D135" s="109"/>
      <c r="E135" s="599"/>
      <c r="F135" s="155"/>
      <c r="G135" s="154"/>
      <c r="H135" s="598"/>
      <c r="I135" s="458"/>
      <c r="J135" s="73"/>
    </row>
    <row r="136" spans="1:10" ht="20.100000000000001" customHeight="1" x14ac:dyDescent="0.2">
      <c r="A136" s="597">
        <f t="shared" si="3"/>
        <v>10</v>
      </c>
      <c r="B136" s="111"/>
      <c r="C136" s="71"/>
      <c r="D136" s="109"/>
      <c r="E136" s="599"/>
      <c r="F136" s="155"/>
      <c r="G136" s="154"/>
      <c r="H136" s="598"/>
      <c r="I136" s="458"/>
      <c r="J136" s="73"/>
    </row>
    <row r="137" spans="1:10" ht="20.100000000000001" customHeight="1" x14ac:dyDescent="0.2">
      <c r="A137" s="597">
        <f t="shared" si="3"/>
        <v>10</v>
      </c>
      <c r="B137" s="111"/>
      <c r="C137" s="686"/>
      <c r="D137" s="109"/>
      <c r="E137" s="599"/>
      <c r="F137" s="155"/>
      <c r="G137" s="154"/>
      <c r="H137" s="598"/>
      <c r="I137" s="458"/>
      <c r="J137" s="73"/>
    </row>
    <row r="138" spans="1:10" ht="20.100000000000001" customHeight="1" x14ac:dyDescent="0.2">
      <c r="A138" s="597">
        <f t="shared" si="3"/>
        <v>10</v>
      </c>
      <c r="B138" s="111"/>
      <c r="C138" s="686"/>
      <c r="D138" s="109"/>
      <c r="E138" s="599"/>
      <c r="F138" s="155"/>
      <c r="G138" s="154"/>
      <c r="H138" s="598"/>
      <c r="I138" s="458"/>
      <c r="J138" s="73"/>
    </row>
    <row r="139" spans="1:10" ht="39.75" customHeight="1" x14ac:dyDescent="0.2">
      <c r="A139" s="597">
        <f t="shared" si="3"/>
        <v>10</v>
      </c>
      <c r="B139" s="111"/>
      <c r="C139" s="687"/>
      <c r="D139" s="109"/>
      <c r="E139" s="599"/>
      <c r="F139" s="155"/>
      <c r="G139" s="154"/>
      <c r="H139" s="598"/>
      <c r="I139" s="458"/>
      <c r="J139" s="73"/>
    </row>
    <row r="140" spans="1:10" ht="26.25" customHeight="1" x14ac:dyDescent="0.2">
      <c r="A140" s="597">
        <f t="shared" si="3"/>
        <v>10</v>
      </c>
      <c r="B140" s="111"/>
      <c r="C140" s="686"/>
      <c r="D140" s="109"/>
      <c r="E140" s="599"/>
      <c r="F140" s="155"/>
      <c r="G140" s="154"/>
      <c r="H140" s="598"/>
      <c r="I140" s="458"/>
      <c r="J140" s="73"/>
    </row>
    <row r="141" spans="1:10" ht="20.100000000000001" customHeight="1" x14ac:dyDescent="0.2">
      <c r="A141" s="597">
        <f t="shared" si="3"/>
        <v>10</v>
      </c>
      <c r="B141" s="111"/>
      <c r="C141" s="686"/>
      <c r="D141" s="109"/>
      <c r="E141" s="599"/>
      <c r="F141" s="155"/>
      <c r="G141" s="154"/>
      <c r="H141" s="598"/>
      <c r="I141" s="458"/>
      <c r="J141" s="73"/>
    </row>
    <row r="142" spans="1:10" ht="20.100000000000001" customHeight="1" x14ac:dyDescent="0.2">
      <c r="A142" s="597">
        <f t="shared" si="3"/>
        <v>10</v>
      </c>
      <c r="B142" s="111"/>
      <c r="C142" s="686"/>
      <c r="D142" s="109"/>
      <c r="E142" s="599"/>
      <c r="F142" s="155"/>
      <c r="G142" s="154"/>
      <c r="H142" s="598"/>
      <c r="I142" s="458"/>
      <c r="J142" s="73"/>
    </row>
    <row r="143" spans="1:10" ht="20.100000000000001" customHeight="1" x14ac:dyDescent="0.2">
      <c r="A143" s="597">
        <f t="shared" si="3"/>
        <v>10</v>
      </c>
      <c r="B143" s="111"/>
      <c r="C143" s="71"/>
      <c r="D143" s="109"/>
      <c r="E143" s="599"/>
      <c r="F143" s="155"/>
      <c r="G143" s="154"/>
      <c r="H143" s="598"/>
      <c r="I143" s="458"/>
      <c r="J143" s="73"/>
    </row>
    <row r="144" spans="1:10" ht="20.100000000000001" customHeight="1" x14ac:dyDescent="0.2">
      <c r="A144" s="597">
        <f t="shared" si="3"/>
        <v>10</v>
      </c>
      <c r="B144" s="111"/>
      <c r="C144" s="686"/>
      <c r="D144" s="109"/>
      <c r="E144" s="599"/>
      <c r="F144" s="155"/>
      <c r="G144" s="154"/>
      <c r="H144" s="598"/>
      <c r="I144" s="458"/>
      <c r="J144" s="73"/>
    </row>
    <row r="145" spans="1:10" ht="20.100000000000001" customHeight="1" x14ac:dyDescent="0.2">
      <c r="A145" s="597">
        <f t="shared" si="3"/>
        <v>10</v>
      </c>
      <c r="B145" s="111"/>
      <c r="C145" s="686"/>
      <c r="D145" s="109"/>
      <c r="E145" s="599"/>
      <c r="F145" s="155"/>
      <c r="G145" s="154"/>
      <c r="H145" s="598"/>
      <c r="I145" s="458"/>
      <c r="J145" s="73"/>
    </row>
    <row r="146" spans="1:10" ht="20.100000000000001" customHeight="1" x14ac:dyDescent="0.2">
      <c r="A146" s="597">
        <f t="shared" si="3"/>
        <v>10</v>
      </c>
      <c r="B146" s="111"/>
      <c r="C146" s="686"/>
      <c r="D146" s="109"/>
      <c r="E146" s="599"/>
      <c r="F146" s="155"/>
      <c r="G146" s="154"/>
      <c r="H146" s="598"/>
      <c r="I146" s="458"/>
      <c r="J146" s="73"/>
    </row>
    <row r="147" spans="1:10" ht="20.100000000000001" customHeight="1" x14ac:dyDescent="0.2">
      <c r="A147" s="597">
        <f t="shared" si="3"/>
        <v>10</v>
      </c>
      <c r="B147" s="111"/>
      <c r="C147" s="71"/>
      <c r="D147" s="109"/>
      <c r="E147" s="599"/>
      <c r="F147" s="155"/>
      <c r="G147" s="154"/>
      <c r="H147" s="598"/>
      <c r="I147" s="458"/>
      <c r="J147" s="73"/>
    </row>
    <row r="148" spans="1:10" ht="20.100000000000001" customHeight="1" x14ac:dyDescent="0.2">
      <c r="A148" s="597">
        <f t="shared" si="3"/>
        <v>10</v>
      </c>
      <c r="B148" s="111"/>
      <c r="C148" s="71"/>
      <c r="D148" s="109"/>
      <c r="E148" s="599"/>
      <c r="F148" s="155"/>
      <c r="G148" s="154"/>
      <c r="H148" s="598"/>
      <c r="I148" s="458"/>
      <c r="J148" s="73"/>
    </row>
    <row r="149" spans="1:10" ht="20.100000000000001" customHeight="1" x14ac:dyDescent="0.2">
      <c r="A149" s="597">
        <f t="shared" si="3"/>
        <v>10</v>
      </c>
      <c r="B149" s="111"/>
      <c r="C149" s="686"/>
      <c r="D149" s="109"/>
      <c r="E149" s="599"/>
      <c r="F149" s="155"/>
      <c r="G149" s="154"/>
      <c r="H149" s="598"/>
      <c r="I149" s="458"/>
      <c r="J149" s="73"/>
    </row>
    <row r="150" spans="1:10" ht="20.100000000000001" customHeight="1" x14ac:dyDescent="0.2">
      <c r="A150" s="597">
        <f t="shared" si="3"/>
        <v>10</v>
      </c>
      <c r="B150" s="111"/>
      <c r="C150" s="686"/>
      <c r="D150" s="109"/>
      <c r="E150" s="599"/>
      <c r="F150" s="155"/>
      <c r="G150" s="154"/>
      <c r="H150" s="598"/>
      <c r="I150" s="458"/>
      <c r="J150" s="73"/>
    </row>
    <row r="151" spans="1:10" ht="20.100000000000001" customHeight="1" x14ac:dyDescent="0.2">
      <c r="A151" s="597">
        <f t="shared" si="3"/>
        <v>10</v>
      </c>
      <c r="B151" s="111"/>
      <c r="C151" s="71"/>
      <c r="D151" s="109"/>
      <c r="E151" s="599"/>
      <c r="F151" s="155"/>
      <c r="G151" s="154"/>
      <c r="H151" s="598"/>
      <c r="I151" s="458"/>
      <c r="J151" s="73"/>
    </row>
    <row r="152" spans="1:10" ht="20.100000000000001" customHeight="1" x14ac:dyDescent="0.2">
      <c r="A152" s="597">
        <f t="shared" si="3"/>
        <v>10</v>
      </c>
      <c r="B152" s="111"/>
      <c r="C152" s="71">
        <f t="shared" ref="C152:C160" si="4">IFERROR(VLOOKUP(J152,T_Código_Items,2,FALSE),G152)</f>
        <v>0</v>
      </c>
      <c r="D152" s="109">
        <f t="shared" ref="D152:D160" si="5">IFERROR(VLOOKUP(J152,T_Código_Items,3,FALSE),H152)</f>
        <v>0</v>
      </c>
      <c r="E152" s="599"/>
      <c r="F152" s="155"/>
      <c r="G152" s="154"/>
      <c r="H152" s="598"/>
      <c r="I152" s="458"/>
      <c r="J152" s="73"/>
    </row>
    <row r="153" spans="1:10" ht="20.100000000000001" customHeight="1" x14ac:dyDescent="0.2">
      <c r="A153" s="597">
        <f t="shared" si="3"/>
        <v>10</v>
      </c>
      <c r="B153" s="111"/>
      <c r="C153" s="71">
        <f t="shared" si="4"/>
        <v>0</v>
      </c>
      <c r="D153" s="109">
        <f t="shared" si="5"/>
        <v>0</v>
      </c>
      <c r="E153" s="599"/>
      <c r="F153" s="155"/>
      <c r="G153" s="154"/>
      <c r="H153" s="598"/>
      <c r="I153" s="458"/>
      <c r="J153" s="73"/>
    </row>
    <row r="154" spans="1:10" ht="20.100000000000001" customHeight="1" x14ac:dyDescent="0.2">
      <c r="A154" s="597">
        <f t="shared" si="3"/>
        <v>10</v>
      </c>
      <c r="B154" s="111"/>
      <c r="C154" s="71">
        <f t="shared" si="4"/>
        <v>0</v>
      </c>
      <c r="D154" s="109">
        <f t="shared" si="5"/>
        <v>0</v>
      </c>
      <c r="E154" s="599"/>
      <c r="F154" s="155"/>
      <c r="G154" s="154"/>
      <c r="H154" s="598"/>
      <c r="I154" s="458"/>
      <c r="J154" s="73"/>
    </row>
    <row r="155" spans="1:10" ht="20.100000000000001" customHeight="1" x14ac:dyDescent="0.2">
      <c r="A155" s="597">
        <f t="shared" si="3"/>
        <v>10</v>
      </c>
      <c r="B155" s="111"/>
      <c r="C155" s="71">
        <f t="shared" si="4"/>
        <v>0</v>
      </c>
      <c r="D155" s="109">
        <f t="shared" si="5"/>
        <v>0</v>
      </c>
      <c r="E155" s="599"/>
      <c r="F155" s="155"/>
      <c r="G155" s="154"/>
      <c r="H155" s="598"/>
      <c r="I155" s="458"/>
      <c r="J155" s="73"/>
    </row>
    <row r="156" spans="1:10" ht="20.100000000000001" customHeight="1" x14ac:dyDescent="0.2">
      <c r="A156" s="597">
        <f t="shared" si="3"/>
        <v>10</v>
      </c>
      <c r="B156" s="111"/>
      <c r="C156" s="71">
        <f t="shared" si="4"/>
        <v>0</v>
      </c>
      <c r="D156" s="109">
        <f t="shared" si="5"/>
        <v>0</v>
      </c>
      <c r="E156" s="599"/>
      <c r="F156" s="155"/>
      <c r="G156" s="154"/>
      <c r="H156" s="598"/>
      <c r="I156" s="458"/>
      <c r="J156" s="73"/>
    </row>
    <row r="157" spans="1:10" ht="20.100000000000001" customHeight="1" x14ac:dyDescent="0.2">
      <c r="A157" s="597">
        <f t="shared" si="3"/>
        <v>10</v>
      </c>
      <c r="B157" s="111"/>
      <c r="C157" s="71">
        <f t="shared" si="4"/>
        <v>0</v>
      </c>
      <c r="D157" s="109">
        <f t="shared" si="5"/>
        <v>0</v>
      </c>
      <c r="E157" s="599"/>
      <c r="F157" s="155"/>
      <c r="G157" s="154"/>
      <c r="H157" s="598"/>
      <c r="I157" s="458"/>
      <c r="J157" s="73"/>
    </row>
    <row r="158" spans="1:10" ht="20.100000000000001" customHeight="1" x14ac:dyDescent="0.2">
      <c r="A158" s="597">
        <f t="shared" si="3"/>
        <v>10</v>
      </c>
      <c r="B158" s="111"/>
      <c r="C158" s="71">
        <f t="shared" si="4"/>
        <v>0</v>
      </c>
      <c r="D158" s="109">
        <f t="shared" si="5"/>
        <v>0</v>
      </c>
      <c r="E158" s="599"/>
      <c r="F158" s="155"/>
      <c r="G158" s="154"/>
      <c r="H158" s="598"/>
      <c r="I158" s="458"/>
      <c r="J158" s="73"/>
    </row>
    <row r="159" spans="1:10" ht="20.100000000000001" customHeight="1" x14ac:dyDescent="0.2">
      <c r="A159" s="597">
        <f t="shared" si="3"/>
        <v>10</v>
      </c>
      <c r="B159" s="111"/>
      <c r="C159" s="71">
        <f t="shared" si="4"/>
        <v>0</v>
      </c>
      <c r="D159" s="109">
        <f t="shared" si="5"/>
        <v>0</v>
      </c>
      <c r="E159" s="599"/>
      <c r="F159" s="155"/>
      <c r="G159" s="154"/>
      <c r="H159" s="598"/>
      <c r="I159" s="458"/>
      <c r="J159" s="73"/>
    </row>
    <row r="160" spans="1:10" ht="20.100000000000001" customHeight="1" x14ac:dyDescent="0.2">
      <c r="A160" s="597">
        <f t="shared" si="3"/>
        <v>10</v>
      </c>
      <c r="B160" s="111"/>
      <c r="C160" s="71">
        <f t="shared" si="4"/>
        <v>0</v>
      </c>
      <c r="D160" s="109">
        <f t="shared" si="5"/>
        <v>0</v>
      </c>
      <c r="E160" s="599"/>
      <c r="F160" s="155"/>
      <c r="G160" s="154"/>
      <c r="H160" s="598"/>
      <c r="I160" s="458"/>
      <c r="J160" s="73"/>
    </row>
    <row r="161" spans="1:10" ht="20.100000000000001" customHeight="1" x14ac:dyDescent="0.2">
      <c r="A161" s="597">
        <f t="shared" si="3"/>
        <v>10</v>
      </c>
      <c r="B161" s="111"/>
      <c r="C161" s="71">
        <f t="shared" ref="C161:C183" si="6">IFERROR(VLOOKUP(J161,T_Código_Items,2,FALSE),G161)</f>
        <v>0</v>
      </c>
      <c r="D161" s="109">
        <f t="shared" ref="D161:D183" si="7">IFERROR(VLOOKUP(J161,T_Código_Items,3,FALSE),H161)</f>
        <v>0</v>
      </c>
      <c r="E161" s="599"/>
      <c r="F161" s="155"/>
      <c r="G161" s="154"/>
      <c r="H161" s="598"/>
      <c r="I161" s="458"/>
      <c r="J161" s="73"/>
    </row>
    <row r="162" spans="1:10" ht="20.100000000000001" customHeight="1" x14ac:dyDescent="0.2">
      <c r="A162" s="597">
        <f t="shared" si="3"/>
        <v>10</v>
      </c>
      <c r="B162" s="111"/>
      <c r="C162" s="71">
        <f t="shared" si="6"/>
        <v>0</v>
      </c>
      <c r="D162" s="109">
        <f t="shared" si="7"/>
        <v>0</v>
      </c>
      <c r="E162" s="599"/>
      <c r="F162" s="155"/>
      <c r="G162" s="154"/>
      <c r="H162" s="598"/>
      <c r="I162" s="458"/>
      <c r="J162" s="73"/>
    </row>
    <row r="163" spans="1:10" ht="20.100000000000001" customHeight="1" x14ac:dyDescent="0.2">
      <c r="A163" s="597">
        <f t="shared" ref="A163:A183" si="8">IF(D163=0,A162,A162+1)</f>
        <v>10</v>
      </c>
      <c r="B163" s="111"/>
      <c r="C163" s="71">
        <f t="shared" si="6"/>
        <v>0</v>
      </c>
      <c r="D163" s="109">
        <f t="shared" si="7"/>
        <v>0</v>
      </c>
      <c r="E163" s="599"/>
      <c r="F163" s="155"/>
      <c r="G163" s="154"/>
      <c r="H163" s="598"/>
      <c r="I163" s="458"/>
      <c r="J163" s="73"/>
    </row>
    <row r="164" spans="1:10" ht="20.100000000000001" customHeight="1" x14ac:dyDescent="0.2">
      <c r="A164" s="597">
        <f t="shared" si="8"/>
        <v>10</v>
      </c>
      <c r="B164" s="111"/>
      <c r="C164" s="71">
        <f t="shared" si="6"/>
        <v>0</v>
      </c>
      <c r="D164" s="109">
        <f t="shared" si="7"/>
        <v>0</v>
      </c>
      <c r="E164" s="599"/>
      <c r="F164" s="155"/>
      <c r="G164" s="154"/>
      <c r="H164" s="598"/>
      <c r="I164" s="458"/>
      <c r="J164" s="73"/>
    </row>
    <row r="165" spans="1:10" ht="20.100000000000001" customHeight="1" x14ac:dyDescent="0.2">
      <c r="A165" s="597">
        <f t="shared" si="8"/>
        <v>10</v>
      </c>
      <c r="B165" s="111"/>
      <c r="C165" s="71">
        <f t="shared" si="6"/>
        <v>0</v>
      </c>
      <c r="D165" s="109">
        <f t="shared" si="7"/>
        <v>0</v>
      </c>
      <c r="E165" s="599"/>
      <c r="F165" s="155"/>
      <c r="G165" s="154"/>
      <c r="H165" s="598"/>
      <c r="I165" s="458"/>
      <c r="J165" s="73"/>
    </row>
    <row r="166" spans="1:10" ht="20.100000000000001" customHeight="1" x14ac:dyDescent="0.2">
      <c r="A166" s="597">
        <f t="shared" si="8"/>
        <v>10</v>
      </c>
      <c r="B166" s="111"/>
      <c r="C166" s="71">
        <f t="shared" si="6"/>
        <v>0</v>
      </c>
      <c r="D166" s="109">
        <f t="shared" si="7"/>
        <v>0</v>
      </c>
      <c r="E166" s="599"/>
      <c r="F166" s="155"/>
      <c r="G166" s="154"/>
      <c r="H166" s="598"/>
      <c r="I166" s="458"/>
      <c r="J166" s="73"/>
    </row>
    <row r="167" spans="1:10" ht="20.100000000000001" customHeight="1" x14ac:dyDescent="0.2">
      <c r="A167" s="597">
        <f t="shared" si="8"/>
        <v>10</v>
      </c>
      <c r="B167" s="111"/>
      <c r="C167" s="71">
        <f t="shared" si="6"/>
        <v>0</v>
      </c>
      <c r="D167" s="109">
        <f t="shared" si="7"/>
        <v>0</v>
      </c>
      <c r="E167" s="599"/>
      <c r="F167" s="155"/>
      <c r="G167" s="154"/>
      <c r="H167" s="598"/>
      <c r="I167" s="458"/>
      <c r="J167" s="73"/>
    </row>
    <row r="168" spans="1:10" ht="20.100000000000001" customHeight="1" x14ac:dyDescent="0.2">
      <c r="A168" s="597">
        <f t="shared" si="8"/>
        <v>10</v>
      </c>
      <c r="B168" s="111"/>
      <c r="C168" s="71">
        <f t="shared" si="6"/>
        <v>0</v>
      </c>
      <c r="D168" s="109">
        <f t="shared" si="7"/>
        <v>0</v>
      </c>
      <c r="E168" s="599"/>
      <c r="F168" s="155"/>
      <c r="G168" s="154"/>
      <c r="H168" s="598"/>
      <c r="I168" s="458"/>
      <c r="J168" s="73"/>
    </row>
    <row r="169" spans="1:10" ht="20.100000000000001" customHeight="1" x14ac:dyDescent="0.2">
      <c r="A169" s="597">
        <f t="shared" si="8"/>
        <v>10</v>
      </c>
      <c r="B169" s="111"/>
      <c r="C169" s="71">
        <f t="shared" si="6"/>
        <v>0</v>
      </c>
      <c r="D169" s="109">
        <f t="shared" si="7"/>
        <v>0</v>
      </c>
      <c r="E169" s="599"/>
      <c r="F169" s="155"/>
      <c r="G169" s="154"/>
      <c r="H169" s="598"/>
      <c r="I169" s="458"/>
      <c r="J169" s="73"/>
    </row>
    <row r="170" spans="1:10" ht="20.100000000000001" customHeight="1" x14ac:dyDescent="0.2">
      <c r="A170" s="597">
        <f t="shared" si="8"/>
        <v>10</v>
      </c>
      <c r="B170" s="111"/>
      <c r="C170" s="71">
        <f t="shared" si="6"/>
        <v>0</v>
      </c>
      <c r="D170" s="109">
        <f t="shared" si="7"/>
        <v>0</v>
      </c>
      <c r="E170" s="599"/>
      <c r="F170" s="155"/>
      <c r="G170" s="154"/>
      <c r="H170" s="598"/>
      <c r="I170" s="458"/>
      <c r="J170" s="73"/>
    </row>
    <row r="171" spans="1:10" ht="20.100000000000001" customHeight="1" x14ac:dyDescent="0.2">
      <c r="A171" s="597">
        <f t="shared" si="8"/>
        <v>10</v>
      </c>
      <c r="B171" s="111"/>
      <c r="C171" s="71">
        <f t="shared" si="6"/>
        <v>0</v>
      </c>
      <c r="D171" s="109">
        <f t="shared" si="7"/>
        <v>0</v>
      </c>
      <c r="E171" s="599"/>
      <c r="F171" s="155"/>
      <c r="G171" s="154"/>
      <c r="H171" s="598"/>
      <c r="I171" s="458"/>
      <c r="J171" s="73"/>
    </row>
    <row r="172" spans="1:10" ht="20.100000000000001" customHeight="1" x14ac:dyDescent="0.2">
      <c r="A172" s="597">
        <f t="shared" si="8"/>
        <v>10</v>
      </c>
      <c r="B172" s="111"/>
      <c r="C172" s="71">
        <f t="shared" si="6"/>
        <v>0</v>
      </c>
      <c r="D172" s="109">
        <f t="shared" si="7"/>
        <v>0</v>
      </c>
      <c r="E172" s="599"/>
      <c r="F172" s="155"/>
      <c r="G172" s="154"/>
      <c r="H172" s="598"/>
      <c r="I172" s="458"/>
      <c r="J172" s="73"/>
    </row>
    <row r="173" spans="1:10" ht="20.100000000000001" customHeight="1" x14ac:dyDescent="0.2">
      <c r="A173" s="597">
        <f t="shared" si="8"/>
        <v>10</v>
      </c>
      <c r="B173" s="111"/>
      <c r="C173" s="71">
        <f t="shared" si="6"/>
        <v>0</v>
      </c>
      <c r="D173" s="109">
        <f t="shared" si="7"/>
        <v>0</v>
      </c>
      <c r="E173" s="599"/>
      <c r="F173" s="155"/>
      <c r="G173" s="154"/>
      <c r="H173" s="598"/>
      <c r="I173" s="458"/>
      <c r="J173" s="73"/>
    </row>
    <row r="174" spans="1:10" ht="20.100000000000001" customHeight="1" x14ac:dyDescent="0.2">
      <c r="A174" s="597">
        <f t="shared" si="8"/>
        <v>10</v>
      </c>
      <c r="B174" s="111"/>
      <c r="C174" s="71">
        <f t="shared" si="6"/>
        <v>0</v>
      </c>
      <c r="D174" s="109">
        <f t="shared" si="7"/>
        <v>0</v>
      </c>
      <c r="E174" s="599"/>
      <c r="F174" s="155"/>
      <c r="G174" s="154"/>
      <c r="H174" s="598"/>
      <c r="I174" s="458"/>
      <c r="J174" s="73"/>
    </row>
    <row r="175" spans="1:10" ht="20.100000000000001" customHeight="1" x14ac:dyDescent="0.2">
      <c r="A175" s="597">
        <f t="shared" si="8"/>
        <v>10</v>
      </c>
      <c r="B175" s="111"/>
      <c r="C175" s="71">
        <f t="shared" si="6"/>
        <v>0</v>
      </c>
      <c r="D175" s="109">
        <f t="shared" si="7"/>
        <v>0</v>
      </c>
      <c r="E175" s="599"/>
      <c r="F175" s="155"/>
      <c r="G175" s="154"/>
      <c r="H175" s="598"/>
      <c r="I175" s="458"/>
      <c r="J175" s="73"/>
    </row>
    <row r="176" spans="1:10" ht="20.100000000000001" customHeight="1" x14ac:dyDescent="0.2">
      <c r="A176" s="597">
        <f t="shared" si="8"/>
        <v>10</v>
      </c>
      <c r="B176" s="111"/>
      <c r="C176" s="71">
        <f t="shared" si="6"/>
        <v>0</v>
      </c>
      <c r="D176" s="109">
        <f t="shared" si="7"/>
        <v>0</v>
      </c>
      <c r="E176" s="599"/>
      <c r="F176" s="155"/>
      <c r="G176" s="154"/>
      <c r="H176" s="598"/>
      <c r="I176" s="458"/>
      <c r="J176" s="73"/>
    </row>
    <row r="177" spans="1:10" ht="20.100000000000001" customHeight="1" x14ac:dyDescent="0.2">
      <c r="A177" s="597">
        <f t="shared" si="8"/>
        <v>10</v>
      </c>
      <c r="B177" s="111"/>
      <c r="C177" s="71">
        <f t="shared" si="6"/>
        <v>0</v>
      </c>
      <c r="D177" s="109">
        <f t="shared" si="7"/>
        <v>0</v>
      </c>
      <c r="E177" s="599"/>
      <c r="F177" s="155"/>
      <c r="G177" s="154"/>
      <c r="H177" s="598"/>
      <c r="I177" s="458"/>
      <c r="J177" s="73"/>
    </row>
    <row r="178" spans="1:10" ht="20.100000000000001" customHeight="1" x14ac:dyDescent="0.2">
      <c r="A178" s="597">
        <f t="shared" si="8"/>
        <v>10</v>
      </c>
      <c r="B178" s="111"/>
      <c r="C178" s="71">
        <f t="shared" si="6"/>
        <v>0</v>
      </c>
      <c r="D178" s="109">
        <f t="shared" si="7"/>
        <v>0</v>
      </c>
      <c r="E178" s="599"/>
      <c r="F178" s="155"/>
      <c r="G178" s="154"/>
      <c r="H178" s="598"/>
      <c r="I178" s="458"/>
      <c r="J178" s="73"/>
    </row>
    <row r="179" spans="1:10" ht="20.100000000000001" customHeight="1" x14ac:dyDescent="0.2">
      <c r="A179" s="597">
        <f t="shared" si="8"/>
        <v>10</v>
      </c>
      <c r="B179" s="111"/>
      <c r="C179" s="71">
        <f t="shared" si="6"/>
        <v>0</v>
      </c>
      <c r="D179" s="109">
        <f t="shared" si="7"/>
        <v>0</v>
      </c>
      <c r="E179" s="599"/>
      <c r="F179" s="155"/>
      <c r="G179" s="154"/>
      <c r="H179" s="598"/>
      <c r="I179" s="458"/>
      <c r="J179" s="73"/>
    </row>
    <row r="180" spans="1:10" ht="20.100000000000001" customHeight="1" x14ac:dyDescent="0.2">
      <c r="A180" s="597">
        <f t="shared" si="8"/>
        <v>10</v>
      </c>
      <c r="B180" s="111"/>
      <c r="C180" s="71">
        <f t="shared" si="6"/>
        <v>0</v>
      </c>
      <c r="D180" s="109">
        <f t="shared" si="7"/>
        <v>0</v>
      </c>
      <c r="E180" s="599"/>
      <c r="F180" s="155"/>
      <c r="G180" s="154"/>
      <c r="H180" s="598"/>
      <c r="I180" s="458"/>
      <c r="J180" s="73"/>
    </row>
    <row r="181" spans="1:10" ht="20.100000000000001" customHeight="1" x14ac:dyDescent="0.2">
      <c r="A181" s="597">
        <f t="shared" si="8"/>
        <v>10</v>
      </c>
      <c r="B181" s="111"/>
      <c r="C181" s="71">
        <f t="shared" si="6"/>
        <v>0</v>
      </c>
      <c r="D181" s="109">
        <f t="shared" si="7"/>
        <v>0</v>
      </c>
      <c r="E181" s="599"/>
      <c r="F181" s="155"/>
      <c r="G181" s="154"/>
      <c r="H181" s="598"/>
      <c r="I181" s="458"/>
      <c r="J181" s="73"/>
    </row>
    <row r="182" spans="1:10" ht="20.100000000000001" customHeight="1" x14ac:dyDescent="0.2">
      <c r="A182" s="597">
        <f t="shared" si="8"/>
        <v>10</v>
      </c>
      <c r="B182" s="111"/>
      <c r="C182" s="71">
        <f t="shared" si="6"/>
        <v>0</v>
      </c>
      <c r="D182" s="109">
        <f t="shared" si="7"/>
        <v>0</v>
      </c>
      <c r="E182" s="599"/>
      <c r="F182" s="155"/>
      <c r="G182" s="154"/>
      <c r="H182" s="598"/>
      <c r="I182" s="458"/>
      <c r="J182" s="73"/>
    </row>
    <row r="183" spans="1:10" ht="20.100000000000001" customHeight="1" x14ac:dyDescent="0.2">
      <c r="A183" s="597">
        <f t="shared" si="8"/>
        <v>10</v>
      </c>
      <c r="B183" s="111"/>
      <c r="C183" s="71">
        <f t="shared" si="6"/>
        <v>0</v>
      </c>
      <c r="D183" s="109">
        <f t="shared" si="7"/>
        <v>0</v>
      </c>
      <c r="E183" s="599"/>
      <c r="F183" s="155"/>
      <c r="G183" s="154"/>
      <c r="H183" s="598"/>
      <c r="I183" s="458"/>
      <c r="J183" s="73"/>
    </row>
    <row r="184" spans="1:10" ht="20.100000000000001" customHeight="1" x14ac:dyDescent="0.2">
      <c r="H184" s="105"/>
      <c r="I184" s="458"/>
      <c r="J184" s="73"/>
    </row>
    <row r="185" spans="1:10" ht="20.100000000000001" customHeight="1" x14ac:dyDescent="0.2">
      <c r="H185" s="105"/>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D215" s="73"/>
      <c r="E215" s="105"/>
      <c r="I215" s="105"/>
      <c r="J215" s="458"/>
    </row>
    <row r="216" spans="4:10" ht="20.100000000000001" customHeight="1" x14ac:dyDescent="0.2">
      <c r="D216" s="73"/>
      <c r="E216" s="105"/>
      <c r="I216" s="105"/>
      <c r="J216" s="458"/>
    </row>
    <row r="217" spans="4:10" ht="20.100000000000001" customHeight="1" x14ac:dyDescent="0.2">
      <c r="J217" s="458"/>
    </row>
    <row r="218" spans="4:10" ht="20.100000000000001" customHeight="1" x14ac:dyDescent="0.2">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C262" s="73">
        <v>5</v>
      </c>
      <c r="J262" s="458"/>
    </row>
    <row r="263" spans="3:10" ht="20.100000000000001" customHeight="1" x14ac:dyDescent="0.2">
      <c r="J263" s="458"/>
    </row>
    <row r="264" spans="3:10" ht="20.100000000000001" customHeight="1" x14ac:dyDescent="0.2">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C312" s="73">
        <v>5</v>
      </c>
    </row>
    <row r="362" spans="3:3" ht="20.100000000000001" customHeight="1" x14ac:dyDescent="0.2">
      <c r="C362" s="73">
        <v>5</v>
      </c>
    </row>
    <row r="412" spans="3:3" ht="20.100000000000001" customHeight="1" x14ac:dyDescent="0.2">
      <c r="C412" s="73">
        <v>5</v>
      </c>
    </row>
    <row r="462" spans="3:3" ht="20.100000000000001" customHeight="1" x14ac:dyDescent="0.2">
      <c r="C462" s="73">
        <v>5</v>
      </c>
    </row>
    <row r="512" spans="3:3" ht="20.100000000000001" customHeight="1" x14ac:dyDescent="0.2">
      <c r="C512" s="73">
        <v>5</v>
      </c>
    </row>
    <row r="562" spans="3:3" ht="20.100000000000001" customHeight="1" x14ac:dyDescent="0.2">
      <c r="C562" s="73">
        <v>5</v>
      </c>
    </row>
    <row r="612" spans="3:3" ht="20.100000000000001" customHeight="1" x14ac:dyDescent="0.2">
      <c r="C612" s="73">
        <v>5</v>
      </c>
    </row>
    <row r="662" spans="3:3" ht="20.100000000000001" customHeight="1" x14ac:dyDescent="0.2">
      <c r="C662" s="73">
        <v>5</v>
      </c>
    </row>
    <row r="712" spans="3:3" ht="20.100000000000001" customHeight="1" x14ac:dyDescent="0.2">
      <c r="C712" s="73">
        <v>5</v>
      </c>
    </row>
    <row r="762" spans="3:3" ht="20.100000000000001" customHeight="1" x14ac:dyDescent="0.2">
      <c r="C762" s="73">
        <v>5</v>
      </c>
    </row>
    <row r="812" spans="3:3" ht="20.100000000000001" customHeight="1" x14ac:dyDescent="0.2">
      <c r="C812" s="73">
        <v>5</v>
      </c>
    </row>
    <row r="813" spans="3:3" ht="20.100000000000001" customHeight="1" x14ac:dyDescent="0.2">
      <c r="C813" s="73" t="e">
        <f>Datos!#REF!</f>
        <v>#REF!</v>
      </c>
    </row>
    <row r="862" spans="3:3" ht="20.100000000000001" customHeight="1" x14ac:dyDescent="0.2">
      <c r="C862" s="73">
        <v>5</v>
      </c>
    </row>
    <row r="863" spans="3:3" ht="20.100000000000001" customHeight="1" x14ac:dyDescent="0.2">
      <c r="C863" s="73" t="e">
        <f>Datos!#REF!</f>
        <v>#REF!</v>
      </c>
    </row>
    <row r="912" spans="3:3" ht="20.100000000000001" customHeight="1" x14ac:dyDescent="0.2">
      <c r="C912" s="73">
        <v>5</v>
      </c>
    </row>
    <row r="913" spans="3:3" ht="20.100000000000001" customHeight="1" x14ac:dyDescent="0.2">
      <c r="C913" s="73" t="e">
        <f>Datos!#REF!</f>
        <v>#REF!</v>
      </c>
    </row>
    <row r="962" spans="3:3" ht="20.100000000000001" customHeight="1" x14ac:dyDescent="0.2">
      <c r="C962" s="73">
        <v>5</v>
      </c>
    </row>
    <row r="963" spans="3:3" ht="20.100000000000001" customHeight="1" x14ac:dyDescent="0.2">
      <c r="C963" s="73" t="e">
        <f>Datos!#REF!</f>
        <v>#REF!</v>
      </c>
    </row>
    <row r="1013" spans="3:3" ht="20.100000000000001" customHeight="1" x14ac:dyDescent="0.2">
      <c r="C1013" s="73" t="e">
        <f>Datos!#REF!</f>
        <v>#REF!</v>
      </c>
    </row>
    <row r="1062" spans="3:3" ht="20.100000000000001" customHeight="1" x14ac:dyDescent="0.2">
      <c r="C1062" s="73">
        <v>7</v>
      </c>
    </row>
    <row r="1063" spans="3:3" ht="20.100000000000001" customHeight="1" x14ac:dyDescent="0.2">
      <c r="C1063" s="73" t="e">
        <f>Datos!#REF!</f>
        <v>#REF!</v>
      </c>
    </row>
    <row r="1113" spans="3:3" ht="20.100000000000001" customHeight="1" x14ac:dyDescent="0.2">
      <c r="C1113" s="73" t="e">
        <f>Datos!#REF!</f>
        <v>#REF!</v>
      </c>
    </row>
    <row r="1162" spans="3:3" ht="20.100000000000001" customHeight="1" x14ac:dyDescent="0.2">
      <c r="C1162" s="73">
        <v>8</v>
      </c>
    </row>
    <row r="1163" spans="3:3" ht="20.100000000000001" customHeight="1" x14ac:dyDescent="0.2">
      <c r="C1163" s="73" t="e">
        <f>Datos!#REF!</f>
        <v>#REF!</v>
      </c>
    </row>
    <row r="1212" spans="3:3" ht="20.100000000000001" customHeight="1" x14ac:dyDescent="0.2">
      <c r="C1212" s="73">
        <v>8</v>
      </c>
    </row>
    <row r="1213" spans="3:3" ht="20.100000000000001" customHeight="1" x14ac:dyDescent="0.2">
      <c r="C1213" s="73" t="e">
        <f>Datos!#REF!</f>
        <v>#REF!</v>
      </c>
    </row>
    <row r="1262" spans="3:3" ht="20.100000000000001" customHeight="1" x14ac:dyDescent="0.2">
      <c r="C1262" s="73">
        <v>8</v>
      </c>
    </row>
    <row r="1263" spans="3:3" ht="20.100000000000001" customHeight="1" x14ac:dyDescent="0.2">
      <c r="C1263" s="73" t="e">
        <f>Datos!#REF!</f>
        <v>#REF!</v>
      </c>
    </row>
    <row r="1312" spans="3:3" ht="20.100000000000001" customHeight="1" x14ac:dyDescent="0.2">
      <c r="C1312" s="73">
        <v>8</v>
      </c>
    </row>
    <row r="1313" spans="3:3" ht="20.100000000000001" customHeight="1" x14ac:dyDescent="0.2">
      <c r="C1313" s="73" t="e">
        <f>Datos!#REF!</f>
        <v>#REF!</v>
      </c>
    </row>
    <row r="1362" spans="3:3" ht="20.100000000000001" customHeight="1" x14ac:dyDescent="0.2">
      <c r="C1362" s="73">
        <v>8</v>
      </c>
    </row>
    <row r="1363" spans="3:3" ht="20.100000000000001" customHeight="1" x14ac:dyDescent="0.2">
      <c r="C1363" s="73" t="e">
        <f>Datos!#REF!</f>
        <v>#REF!</v>
      </c>
    </row>
    <row r="1413" spans="3:3" ht="20.100000000000001" customHeight="1" x14ac:dyDescent="0.2">
      <c r="C1413" s="73" t="e">
        <f>Datos!#REF!</f>
        <v>#REF!</v>
      </c>
    </row>
    <row r="1463" spans="3:3" ht="20.100000000000001" customHeight="1" x14ac:dyDescent="0.2">
      <c r="C1463" s="73" t="e">
        <f>Datos!#REF!</f>
        <v>#REF!</v>
      </c>
    </row>
    <row r="1513" spans="3:3" ht="20.100000000000001" customHeight="1" x14ac:dyDescent="0.2">
      <c r="C1513" s="73" t="e">
        <f>Datos!#REF!</f>
        <v>#REF!</v>
      </c>
    </row>
    <row r="1562" spans="3:3" ht="20.100000000000001" customHeight="1" x14ac:dyDescent="0.2">
      <c r="C1562" s="73">
        <v>12</v>
      </c>
    </row>
    <row r="1563" spans="3:3" ht="20.100000000000001" customHeight="1" x14ac:dyDescent="0.2">
      <c r="C1563" s="73" t="e">
        <f>Datos!#REF!</f>
        <v>#REF!</v>
      </c>
    </row>
    <row r="1612" spans="3:3" ht="20.100000000000001" customHeight="1" x14ac:dyDescent="0.2">
      <c r="C1612" s="73">
        <v>12</v>
      </c>
    </row>
    <row r="1613" spans="3:3" ht="20.100000000000001" customHeight="1" x14ac:dyDescent="0.2">
      <c r="C1613" s="73" t="e">
        <f>Datos!#REF!</f>
        <v>#REF!</v>
      </c>
    </row>
    <row r="1662" spans="3:3" ht="20.100000000000001" customHeight="1" x14ac:dyDescent="0.2">
      <c r="C1662" s="73">
        <v>12</v>
      </c>
    </row>
    <row r="1663" spans="3:3" ht="20.100000000000001" customHeight="1" x14ac:dyDescent="0.2">
      <c r="C1663" s="73" t="e">
        <f>Datos!#REF!</f>
        <v>#REF!</v>
      </c>
    </row>
    <row r="1712" spans="3:3" ht="20.100000000000001" customHeight="1" x14ac:dyDescent="0.2">
      <c r="C1712" s="73">
        <v>12</v>
      </c>
    </row>
    <row r="1713" spans="3:3" ht="20.100000000000001" customHeight="1" x14ac:dyDescent="0.2">
      <c r="C1713" s="73" t="e">
        <f>Datos!#REF!</f>
        <v>#REF!</v>
      </c>
    </row>
    <row r="1762" spans="3:3" ht="20.100000000000001" customHeight="1" x14ac:dyDescent="0.2">
      <c r="C1762" s="73">
        <v>12</v>
      </c>
    </row>
    <row r="1763" spans="3:3" ht="20.100000000000001" customHeight="1" x14ac:dyDescent="0.2">
      <c r="C1763" s="73" t="e">
        <f>Datos!#REF!</f>
        <v>#REF!</v>
      </c>
    </row>
    <row r="1812" spans="3:3" ht="20.100000000000001" customHeight="1" x14ac:dyDescent="0.2">
      <c r="C1812" s="73">
        <v>13</v>
      </c>
    </row>
    <row r="1813" spans="3:3" ht="20.100000000000001" customHeight="1" x14ac:dyDescent="0.2">
      <c r="C1813" s="73" t="e">
        <f>Datos!#REF!</f>
        <v>#REF!</v>
      </c>
    </row>
    <row r="1862" spans="3:3" ht="20.100000000000001" customHeight="1" x14ac:dyDescent="0.2">
      <c r="C1862" s="73">
        <v>13</v>
      </c>
    </row>
    <row r="1863" spans="3:3" ht="20.100000000000001" customHeight="1" x14ac:dyDescent="0.2">
      <c r="C1863" s="73" t="e">
        <f>Datos!#REF!</f>
        <v>#REF!</v>
      </c>
    </row>
  </sheetData>
  <mergeCells count="4">
    <mergeCell ref="G31:H31"/>
    <mergeCell ref="A1:D1"/>
    <mergeCell ref="A16:E16"/>
    <mergeCell ref="B30:E30"/>
  </mergeCells>
  <phoneticPr fontId="55" type="noConversion"/>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D34:D4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1018</v>
      </c>
      <c r="C1" s="180" t="s">
        <v>1019</v>
      </c>
      <c r="D1" s="181"/>
      <c r="G1" s="182"/>
      <c r="H1" s="183" t="s">
        <v>1018</v>
      </c>
      <c r="I1" s="184" t="s">
        <v>1019</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1020</v>
      </c>
      <c r="C3" s="84" t="s">
        <v>1021</v>
      </c>
      <c r="D3" s="181"/>
      <c r="G3" s="182"/>
      <c r="H3" s="190">
        <v>1</v>
      </c>
      <c r="I3" s="191"/>
      <c r="J3" s="192"/>
      <c r="K3" s="193" t="s">
        <v>1021</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1022</v>
      </c>
      <c r="J4" s="200"/>
      <c r="K4" s="201" t="s">
        <v>1023</v>
      </c>
      <c r="L4" s="202"/>
      <c r="M4" s="202"/>
      <c r="N4" s="202"/>
      <c r="O4" s="203"/>
      <c r="P4" s="182"/>
      <c r="Q4" s="182"/>
      <c r="R4" s="182"/>
      <c r="S4" s="182"/>
    </row>
    <row r="5" spans="1:19" x14ac:dyDescent="0.2">
      <c r="A5" s="188">
        <v>1</v>
      </c>
      <c r="B5" s="189" t="s">
        <v>1024</v>
      </c>
      <c r="C5" s="84" t="s">
        <v>1025</v>
      </c>
      <c r="D5" s="187" t="s">
        <v>1026</v>
      </c>
      <c r="G5" s="182"/>
      <c r="H5" s="198"/>
      <c r="I5" s="187"/>
      <c r="J5" s="204">
        <v>1</v>
      </c>
      <c r="K5" s="182"/>
      <c r="L5" s="197" t="s">
        <v>1027</v>
      </c>
      <c r="M5" s="182"/>
      <c r="N5" s="182"/>
      <c r="O5" s="205" t="s">
        <v>1026</v>
      </c>
      <c r="P5" s="182"/>
      <c r="Q5" s="196">
        <v>1</v>
      </c>
      <c r="R5" s="189" t="str">
        <f>CONCATENATE($R$3,".",TEXT(Q5,"0000"))</f>
        <v>II-0001.0001</v>
      </c>
      <c r="S5" s="182" t="str">
        <f t="shared" ref="S5:S12" si="0">CONCATENATE($E$4," ",L5)</f>
        <v xml:space="preserve"> Ø4</v>
      </c>
    </row>
    <row r="6" spans="1:19" x14ac:dyDescent="0.2">
      <c r="A6" s="188">
        <v>2</v>
      </c>
      <c r="B6" s="181" t="s">
        <v>1028</v>
      </c>
      <c r="C6" s="84" t="s">
        <v>1029</v>
      </c>
      <c r="D6" s="187" t="s">
        <v>1026</v>
      </c>
      <c r="G6" s="182"/>
      <c r="H6" s="198"/>
      <c r="I6" s="187"/>
      <c r="J6" s="204">
        <v>2</v>
      </c>
      <c r="K6" s="182"/>
      <c r="L6" s="197" t="s">
        <v>1030</v>
      </c>
      <c r="M6" s="182"/>
      <c r="N6" s="182"/>
      <c r="O6" s="205" t="s">
        <v>1026</v>
      </c>
      <c r="P6" s="182"/>
      <c r="Q6" s="196">
        <v>2</v>
      </c>
      <c r="R6" s="189" t="str">
        <f t="shared" ref="R6:R30" si="1">CONCATENATE($R$3,".",TEXT(Q6,"0000"))</f>
        <v>II-0001.0002</v>
      </c>
      <c r="S6" s="182" t="str">
        <f t="shared" si="0"/>
        <v xml:space="preserve"> Ø6</v>
      </c>
    </row>
    <row r="7" spans="1:19" x14ac:dyDescent="0.2">
      <c r="A7" s="188">
        <v>3</v>
      </c>
      <c r="B7" s="181" t="s">
        <v>1031</v>
      </c>
      <c r="C7" s="84" t="s">
        <v>1032</v>
      </c>
      <c r="D7" s="187" t="s">
        <v>1026</v>
      </c>
      <c r="G7" s="182"/>
      <c r="H7" s="198"/>
      <c r="I7" s="187"/>
      <c r="J7" s="204">
        <v>3</v>
      </c>
      <c r="K7" s="182"/>
      <c r="L7" s="197" t="s">
        <v>1033</v>
      </c>
      <c r="M7" s="182"/>
      <c r="N7" s="182"/>
      <c r="O7" s="205" t="s">
        <v>1026</v>
      </c>
      <c r="P7" s="182"/>
      <c r="Q7" s="196">
        <v>3</v>
      </c>
      <c r="R7" s="189" t="str">
        <f t="shared" si="1"/>
        <v>II-0001.0003</v>
      </c>
      <c r="S7" s="182" t="str">
        <f t="shared" si="0"/>
        <v xml:space="preserve"> Ø8</v>
      </c>
    </row>
    <row r="8" spans="1:19" x14ac:dyDescent="0.2">
      <c r="A8" s="188">
        <v>4</v>
      </c>
      <c r="B8" s="181" t="s">
        <v>1034</v>
      </c>
      <c r="C8" s="206" t="s">
        <v>1035</v>
      </c>
      <c r="D8" s="187" t="s">
        <v>1026</v>
      </c>
      <c r="G8" s="182"/>
      <c r="H8" s="198"/>
      <c r="I8" s="187"/>
      <c r="J8" s="204">
        <v>4</v>
      </c>
      <c r="K8" s="182"/>
      <c r="L8" s="197" t="s">
        <v>1036</v>
      </c>
      <c r="M8" s="182"/>
      <c r="N8" s="182"/>
      <c r="O8" s="205" t="s">
        <v>1026</v>
      </c>
      <c r="P8" s="182"/>
      <c r="Q8" s="196">
        <v>4</v>
      </c>
      <c r="R8" s="189" t="str">
        <f t="shared" si="1"/>
        <v>II-0001.0004</v>
      </c>
      <c r="S8" s="182" t="str">
        <f t="shared" si="0"/>
        <v xml:space="preserve"> Ø10</v>
      </c>
    </row>
    <row r="9" spans="1:19" x14ac:dyDescent="0.2">
      <c r="A9" s="188">
        <v>5</v>
      </c>
      <c r="B9" s="189" t="s">
        <v>1037</v>
      </c>
      <c r="C9" s="84" t="s">
        <v>1038</v>
      </c>
      <c r="D9" s="187" t="s">
        <v>1026</v>
      </c>
      <c r="G9" s="182"/>
      <c r="H9" s="198"/>
      <c r="I9" s="187"/>
      <c r="J9" s="204">
        <v>5</v>
      </c>
      <c r="K9" s="182"/>
      <c r="L9" s="197" t="s">
        <v>1039</v>
      </c>
      <c r="M9" s="182"/>
      <c r="N9" s="182"/>
      <c r="O9" s="205" t="s">
        <v>1026</v>
      </c>
      <c r="P9" s="182"/>
      <c r="Q9" s="196">
        <v>5</v>
      </c>
      <c r="R9" s="189" t="str">
        <f t="shared" si="1"/>
        <v>II-0001.0005</v>
      </c>
      <c r="S9" s="182" t="str">
        <f t="shared" si="0"/>
        <v xml:space="preserve"> Ø12</v>
      </c>
    </row>
    <row r="10" spans="1:19" x14ac:dyDescent="0.2">
      <c r="A10" s="188">
        <v>6</v>
      </c>
      <c r="B10" s="189" t="s">
        <v>1040</v>
      </c>
      <c r="C10" s="84" t="s">
        <v>1041</v>
      </c>
      <c r="D10" s="187" t="s">
        <v>1026</v>
      </c>
      <c r="G10" s="182"/>
      <c r="H10" s="198"/>
      <c r="I10" s="187"/>
      <c r="J10" s="204">
        <v>6</v>
      </c>
      <c r="K10" s="182"/>
      <c r="L10" s="197" t="s">
        <v>1042</v>
      </c>
      <c r="M10" s="182"/>
      <c r="N10" s="182"/>
      <c r="O10" s="205" t="s">
        <v>1026</v>
      </c>
      <c r="P10" s="182"/>
      <c r="Q10" s="196">
        <v>6</v>
      </c>
      <c r="R10" s="189" t="str">
        <f t="shared" si="1"/>
        <v>II-0001.0006</v>
      </c>
      <c r="S10" s="182" t="str">
        <f t="shared" si="0"/>
        <v xml:space="preserve"> Ø16</v>
      </c>
    </row>
    <row r="11" spans="1:19" x14ac:dyDescent="0.2">
      <c r="A11" s="188">
        <v>7</v>
      </c>
      <c r="B11" s="189" t="s">
        <v>1043</v>
      </c>
      <c r="C11" s="84" t="s">
        <v>1044</v>
      </c>
      <c r="D11" s="187" t="s">
        <v>1026</v>
      </c>
      <c r="G11" s="182"/>
      <c r="H11" s="198"/>
      <c r="I11" s="187"/>
      <c r="J11" s="204">
        <v>7</v>
      </c>
      <c r="K11" s="182"/>
      <c r="L11" s="197" t="s">
        <v>1045</v>
      </c>
      <c r="M11" s="182"/>
      <c r="N11" s="182"/>
      <c r="O11" s="205" t="s">
        <v>1026</v>
      </c>
      <c r="P11" s="182"/>
      <c r="Q11" s="196">
        <v>7</v>
      </c>
      <c r="R11" s="189" t="str">
        <f t="shared" si="1"/>
        <v>II-0001.0007</v>
      </c>
      <c r="S11" s="182" t="str">
        <f t="shared" si="0"/>
        <v xml:space="preserve"> Ø18</v>
      </c>
    </row>
    <row r="12" spans="1:19" x14ac:dyDescent="0.2">
      <c r="A12" s="188">
        <v>8</v>
      </c>
      <c r="B12" s="181" t="s">
        <v>1046</v>
      </c>
      <c r="C12" s="84" t="s">
        <v>1047</v>
      </c>
      <c r="D12" s="187" t="s">
        <v>1026</v>
      </c>
      <c r="G12" s="182"/>
      <c r="H12" s="198"/>
      <c r="I12" s="187"/>
      <c r="J12" s="207">
        <v>8</v>
      </c>
      <c r="K12" s="208"/>
      <c r="L12" s="209" t="s">
        <v>1048</v>
      </c>
      <c r="M12" s="208"/>
      <c r="N12" s="208"/>
      <c r="O12" s="210" t="s">
        <v>1026</v>
      </c>
      <c r="P12" s="182"/>
      <c r="Q12" s="196">
        <v>8</v>
      </c>
      <c r="R12" s="189" t="str">
        <f t="shared" si="1"/>
        <v>II-0001.0008</v>
      </c>
      <c r="S12" s="182" t="str">
        <f t="shared" si="0"/>
        <v xml:space="preserve"> Ø20</v>
      </c>
    </row>
    <row r="13" spans="1:19" x14ac:dyDescent="0.2">
      <c r="A13" s="188"/>
      <c r="B13" s="181"/>
      <c r="C13" s="84"/>
      <c r="D13" s="187"/>
      <c r="G13" s="182"/>
      <c r="H13" s="198"/>
      <c r="I13" s="199" t="s">
        <v>1049</v>
      </c>
      <c r="J13" s="187"/>
      <c r="K13" s="211" t="s">
        <v>1050</v>
      </c>
      <c r="L13" s="202"/>
      <c r="M13" s="202"/>
      <c r="N13" s="202"/>
      <c r="O13" s="203"/>
      <c r="P13" s="182"/>
      <c r="Q13" s="182"/>
      <c r="R13" s="182"/>
      <c r="S13" s="182"/>
    </row>
    <row r="14" spans="1:19" x14ac:dyDescent="0.2">
      <c r="A14" s="188">
        <v>20</v>
      </c>
      <c r="B14" s="181" t="s">
        <v>1051</v>
      </c>
      <c r="C14" s="206" t="s">
        <v>1025</v>
      </c>
      <c r="D14" s="187" t="s">
        <v>1026</v>
      </c>
      <c r="G14" s="182"/>
      <c r="H14" s="198"/>
      <c r="I14" s="187"/>
      <c r="J14" s="204">
        <v>1</v>
      </c>
      <c r="K14" s="182"/>
      <c r="L14" s="197" t="s">
        <v>1027</v>
      </c>
      <c r="M14" s="182"/>
      <c r="N14" s="182"/>
      <c r="O14" s="205" t="s">
        <v>1026</v>
      </c>
      <c r="P14" s="182"/>
      <c r="Q14" s="196">
        <v>20</v>
      </c>
      <c r="R14" s="189" t="str">
        <f t="shared" si="1"/>
        <v>II-0001.0020</v>
      </c>
      <c r="S14" s="182" t="str">
        <f t="shared" ref="S14:S21" si="2">CONCATENATE($E$13," ",L14)</f>
        <v xml:space="preserve"> Ø4</v>
      </c>
    </row>
    <row r="15" spans="1:19" x14ac:dyDescent="0.2">
      <c r="A15" s="188">
        <v>21</v>
      </c>
      <c r="B15" s="189" t="s">
        <v>1052</v>
      </c>
      <c r="C15" s="84" t="s">
        <v>1029</v>
      </c>
      <c r="D15" s="187" t="s">
        <v>1026</v>
      </c>
      <c r="G15" s="182"/>
      <c r="H15" s="198"/>
      <c r="I15" s="187"/>
      <c r="J15" s="204">
        <v>2</v>
      </c>
      <c r="K15" s="182"/>
      <c r="L15" s="197" t="s">
        <v>1030</v>
      </c>
      <c r="M15" s="182"/>
      <c r="N15" s="182"/>
      <c r="O15" s="205" t="s">
        <v>1026</v>
      </c>
      <c r="P15" s="182"/>
      <c r="Q15" s="196">
        <v>21</v>
      </c>
      <c r="R15" s="189" t="str">
        <f t="shared" si="1"/>
        <v>II-0001.0021</v>
      </c>
      <c r="S15" s="182" t="str">
        <f t="shared" si="2"/>
        <v xml:space="preserve"> Ø6</v>
      </c>
    </row>
    <row r="16" spans="1:19" x14ac:dyDescent="0.2">
      <c r="A16" s="188">
        <v>22</v>
      </c>
      <c r="B16" s="189" t="s">
        <v>1053</v>
      </c>
      <c r="C16" s="84" t="s">
        <v>1032</v>
      </c>
      <c r="D16" s="187" t="s">
        <v>1026</v>
      </c>
      <c r="G16" s="182"/>
      <c r="H16" s="198"/>
      <c r="I16" s="187"/>
      <c r="J16" s="204">
        <v>3</v>
      </c>
      <c r="K16" s="182"/>
      <c r="L16" s="197" t="s">
        <v>1033</v>
      </c>
      <c r="M16" s="182"/>
      <c r="N16" s="182"/>
      <c r="O16" s="205" t="s">
        <v>1026</v>
      </c>
      <c r="P16" s="182"/>
      <c r="Q16" s="196">
        <v>22</v>
      </c>
      <c r="R16" s="189" t="str">
        <f t="shared" si="1"/>
        <v>II-0001.0022</v>
      </c>
      <c r="S16" s="182" t="str">
        <f t="shared" si="2"/>
        <v xml:space="preserve"> Ø8</v>
      </c>
    </row>
    <row r="17" spans="1:19" x14ac:dyDescent="0.2">
      <c r="A17" s="188">
        <v>23</v>
      </c>
      <c r="B17" s="189" t="s">
        <v>1054</v>
      </c>
      <c r="C17" s="84" t="s">
        <v>1035</v>
      </c>
      <c r="D17" s="187" t="s">
        <v>1026</v>
      </c>
      <c r="G17" s="182"/>
      <c r="H17" s="198"/>
      <c r="I17" s="187"/>
      <c r="J17" s="204">
        <v>4</v>
      </c>
      <c r="K17" s="182"/>
      <c r="L17" s="197" t="s">
        <v>1036</v>
      </c>
      <c r="M17" s="182"/>
      <c r="N17" s="182"/>
      <c r="O17" s="205" t="s">
        <v>1026</v>
      </c>
      <c r="P17" s="182"/>
      <c r="Q17" s="196">
        <v>23</v>
      </c>
      <c r="R17" s="189" t="str">
        <f t="shared" si="1"/>
        <v>II-0001.0023</v>
      </c>
      <c r="S17" s="182" t="str">
        <f t="shared" si="2"/>
        <v xml:space="preserve"> Ø10</v>
      </c>
    </row>
    <row r="18" spans="1:19" x14ac:dyDescent="0.2">
      <c r="A18" s="188">
        <v>24</v>
      </c>
      <c r="B18" s="189" t="s">
        <v>1055</v>
      </c>
      <c r="C18" s="84" t="s">
        <v>1038</v>
      </c>
      <c r="D18" s="187" t="s">
        <v>1026</v>
      </c>
      <c r="G18" s="182"/>
      <c r="H18" s="198"/>
      <c r="I18" s="187"/>
      <c r="J18" s="204">
        <v>5</v>
      </c>
      <c r="K18" s="182"/>
      <c r="L18" s="197" t="s">
        <v>1039</v>
      </c>
      <c r="M18" s="182"/>
      <c r="N18" s="182"/>
      <c r="O18" s="205" t="s">
        <v>1026</v>
      </c>
      <c r="P18" s="182"/>
      <c r="Q18" s="196">
        <v>24</v>
      </c>
      <c r="R18" s="189" t="str">
        <f t="shared" si="1"/>
        <v>II-0001.0024</v>
      </c>
      <c r="S18" s="182" t="str">
        <f t="shared" si="2"/>
        <v xml:space="preserve"> Ø12</v>
      </c>
    </row>
    <row r="19" spans="1:19" x14ac:dyDescent="0.2">
      <c r="A19" s="188">
        <v>25</v>
      </c>
      <c r="B19" s="181" t="s">
        <v>1056</v>
      </c>
      <c r="C19" s="84" t="s">
        <v>1041</v>
      </c>
      <c r="D19" s="187" t="s">
        <v>1026</v>
      </c>
      <c r="G19" s="182"/>
      <c r="H19" s="198"/>
      <c r="I19" s="187"/>
      <c r="J19" s="204">
        <v>6</v>
      </c>
      <c r="K19" s="182"/>
      <c r="L19" s="197" t="s">
        <v>1042</v>
      </c>
      <c r="M19" s="182"/>
      <c r="N19" s="182"/>
      <c r="O19" s="205" t="s">
        <v>1026</v>
      </c>
      <c r="P19" s="182"/>
      <c r="Q19" s="196">
        <v>25</v>
      </c>
      <c r="R19" s="189" t="str">
        <f t="shared" si="1"/>
        <v>II-0001.0025</v>
      </c>
      <c r="S19" s="182" t="str">
        <f t="shared" si="2"/>
        <v xml:space="preserve"> Ø16</v>
      </c>
    </row>
    <row r="20" spans="1:19" x14ac:dyDescent="0.2">
      <c r="A20" s="188">
        <v>26</v>
      </c>
      <c r="B20" s="181" t="s">
        <v>1057</v>
      </c>
      <c r="C20" s="84" t="s">
        <v>1044</v>
      </c>
      <c r="D20" s="187" t="s">
        <v>1026</v>
      </c>
      <c r="G20" s="182"/>
      <c r="H20" s="198"/>
      <c r="I20" s="187"/>
      <c r="J20" s="204">
        <v>7</v>
      </c>
      <c r="K20" s="182"/>
      <c r="L20" s="197" t="s">
        <v>1045</v>
      </c>
      <c r="M20" s="182"/>
      <c r="N20" s="182"/>
      <c r="O20" s="205" t="s">
        <v>1026</v>
      </c>
      <c r="P20" s="182"/>
      <c r="Q20" s="196">
        <v>26</v>
      </c>
      <c r="R20" s="189" t="str">
        <f t="shared" si="1"/>
        <v>II-0001.0026</v>
      </c>
      <c r="S20" s="182" t="str">
        <f t="shared" si="2"/>
        <v xml:space="preserve"> Ø18</v>
      </c>
    </row>
    <row r="21" spans="1:19" x14ac:dyDescent="0.2">
      <c r="A21" s="188">
        <v>27</v>
      </c>
      <c r="B21" s="181" t="s">
        <v>1058</v>
      </c>
      <c r="C21" s="206" t="s">
        <v>1047</v>
      </c>
      <c r="D21" s="187" t="s">
        <v>1026</v>
      </c>
      <c r="G21" s="182"/>
      <c r="H21" s="198"/>
      <c r="I21" s="212"/>
      <c r="J21" s="207">
        <v>8</v>
      </c>
      <c r="K21" s="208"/>
      <c r="L21" s="209" t="s">
        <v>1048</v>
      </c>
      <c r="M21" s="208"/>
      <c r="N21" s="208"/>
      <c r="O21" s="210" t="s">
        <v>1026</v>
      </c>
      <c r="P21" s="182"/>
      <c r="Q21" s="196">
        <v>27</v>
      </c>
      <c r="R21" s="189" t="str">
        <f t="shared" si="1"/>
        <v>II-0001.0027</v>
      </c>
      <c r="S21" s="182" t="str">
        <f t="shared" si="2"/>
        <v xml:space="preserve"> Ø20</v>
      </c>
    </row>
    <row r="22" spans="1:19" x14ac:dyDescent="0.2">
      <c r="A22" s="188"/>
      <c r="B22" s="189"/>
      <c r="C22" s="84"/>
      <c r="D22" s="187"/>
      <c r="G22" s="182"/>
      <c r="H22" s="198"/>
      <c r="I22" s="199" t="s">
        <v>1059</v>
      </c>
      <c r="J22" s="187"/>
      <c r="K22" s="211" t="s">
        <v>1060</v>
      </c>
      <c r="L22" s="202"/>
      <c r="M22" s="202"/>
      <c r="N22" s="202"/>
      <c r="O22" s="203"/>
      <c r="P22" s="182"/>
      <c r="Q22" s="182"/>
      <c r="R22" s="182"/>
      <c r="S22" s="182"/>
    </row>
    <row r="23" spans="1:19" x14ac:dyDescent="0.2">
      <c r="A23" s="188">
        <v>30</v>
      </c>
      <c r="B23" s="189" t="s">
        <v>1061</v>
      </c>
      <c r="C23" s="84" t="s">
        <v>1025</v>
      </c>
      <c r="D23" s="187" t="s">
        <v>1026</v>
      </c>
      <c r="G23" s="182"/>
      <c r="H23" s="198"/>
      <c r="I23" s="187"/>
      <c r="J23" s="204">
        <v>1</v>
      </c>
      <c r="K23" s="182"/>
      <c r="L23" s="197" t="s">
        <v>1027</v>
      </c>
      <c r="M23" s="182"/>
      <c r="N23" s="182"/>
      <c r="O23" s="205" t="s">
        <v>1026</v>
      </c>
      <c r="P23" s="182"/>
      <c r="Q23" s="196">
        <v>30</v>
      </c>
      <c r="R23" s="189" t="str">
        <f t="shared" si="1"/>
        <v>II-0001.0030</v>
      </c>
      <c r="S23" s="182" t="str">
        <f>CONCATENATE($E$22," ",L23)</f>
        <v xml:space="preserve"> Ø4</v>
      </c>
    </row>
    <row r="24" spans="1:19" x14ac:dyDescent="0.2">
      <c r="A24" s="188">
        <v>31</v>
      </c>
      <c r="B24" s="189" t="s">
        <v>1062</v>
      </c>
      <c r="C24" s="84" t="s">
        <v>1029</v>
      </c>
      <c r="D24" s="187" t="s">
        <v>1026</v>
      </c>
      <c r="G24" s="182"/>
      <c r="H24" s="198"/>
      <c r="I24" s="187"/>
      <c r="J24" s="204">
        <v>2</v>
      </c>
      <c r="K24" s="182"/>
      <c r="L24" s="197" t="s">
        <v>1030</v>
      </c>
      <c r="M24" s="182"/>
      <c r="N24" s="182"/>
      <c r="O24" s="205" t="s">
        <v>1026</v>
      </c>
      <c r="P24" s="182"/>
      <c r="Q24" s="196">
        <v>31</v>
      </c>
      <c r="R24" s="189" t="str">
        <f t="shared" si="1"/>
        <v>II-0001.0031</v>
      </c>
      <c r="S24" s="182" t="str">
        <f t="shared" ref="S24:S30" si="3">CONCATENATE($E$22," ",L24)</f>
        <v xml:space="preserve"> Ø6</v>
      </c>
    </row>
    <row r="25" spans="1:19" x14ac:dyDescent="0.2">
      <c r="A25" s="188">
        <v>32</v>
      </c>
      <c r="B25" s="189" t="s">
        <v>1063</v>
      </c>
      <c r="C25" s="84" t="s">
        <v>1032</v>
      </c>
      <c r="D25" s="187" t="s">
        <v>1026</v>
      </c>
      <c r="G25" s="182"/>
      <c r="H25" s="198"/>
      <c r="I25" s="187"/>
      <c r="J25" s="204">
        <v>3</v>
      </c>
      <c r="K25" s="182"/>
      <c r="L25" s="197" t="s">
        <v>1033</v>
      </c>
      <c r="M25" s="182"/>
      <c r="N25" s="182"/>
      <c r="O25" s="205" t="s">
        <v>1026</v>
      </c>
      <c r="P25" s="182"/>
      <c r="Q25" s="196">
        <v>32</v>
      </c>
      <c r="R25" s="189" t="str">
        <f t="shared" si="1"/>
        <v>II-0001.0032</v>
      </c>
      <c r="S25" s="182" t="str">
        <f t="shared" si="3"/>
        <v xml:space="preserve"> Ø8</v>
      </c>
    </row>
    <row r="26" spans="1:19" x14ac:dyDescent="0.2">
      <c r="A26" s="188">
        <v>33</v>
      </c>
      <c r="B26" s="189" t="s">
        <v>1064</v>
      </c>
      <c r="C26" s="84" t="s">
        <v>1035</v>
      </c>
      <c r="D26" s="187" t="s">
        <v>1026</v>
      </c>
      <c r="G26" s="182"/>
      <c r="H26" s="198"/>
      <c r="I26" s="187"/>
      <c r="J26" s="204">
        <v>4</v>
      </c>
      <c r="K26" s="182"/>
      <c r="L26" s="197" t="s">
        <v>1036</v>
      </c>
      <c r="M26" s="182"/>
      <c r="N26" s="182"/>
      <c r="O26" s="205" t="s">
        <v>1026</v>
      </c>
      <c r="P26" s="182"/>
      <c r="Q26" s="196">
        <v>33</v>
      </c>
      <c r="R26" s="189" t="str">
        <f t="shared" si="1"/>
        <v>II-0001.0033</v>
      </c>
      <c r="S26" s="182" t="str">
        <f t="shared" si="3"/>
        <v xml:space="preserve"> Ø10</v>
      </c>
    </row>
    <row r="27" spans="1:19" x14ac:dyDescent="0.2">
      <c r="A27" s="188">
        <v>34</v>
      </c>
      <c r="B27" s="189" t="s">
        <v>1065</v>
      </c>
      <c r="C27" s="84" t="s">
        <v>1038</v>
      </c>
      <c r="D27" s="187" t="s">
        <v>1026</v>
      </c>
      <c r="G27" s="182"/>
      <c r="H27" s="198"/>
      <c r="I27" s="187"/>
      <c r="J27" s="204">
        <v>5</v>
      </c>
      <c r="K27" s="182"/>
      <c r="L27" s="197" t="s">
        <v>1039</v>
      </c>
      <c r="M27" s="182"/>
      <c r="N27" s="182"/>
      <c r="O27" s="205" t="s">
        <v>1026</v>
      </c>
      <c r="P27" s="182"/>
      <c r="Q27" s="196">
        <v>34</v>
      </c>
      <c r="R27" s="189" t="str">
        <f t="shared" si="1"/>
        <v>II-0001.0034</v>
      </c>
      <c r="S27" s="182" t="str">
        <f t="shared" si="3"/>
        <v xml:space="preserve"> Ø12</v>
      </c>
    </row>
    <row r="28" spans="1:19" x14ac:dyDescent="0.2">
      <c r="A28" s="188">
        <v>35</v>
      </c>
      <c r="B28" s="189" t="s">
        <v>1066</v>
      </c>
      <c r="C28" s="84" t="s">
        <v>1041</v>
      </c>
      <c r="D28" s="187" t="s">
        <v>1026</v>
      </c>
      <c r="G28" s="182"/>
      <c r="H28" s="198"/>
      <c r="I28" s="187"/>
      <c r="J28" s="204">
        <v>6</v>
      </c>
      <c r="K28" s="182"/>
      <c r="L28" s="197" t="s">
        <v>1042</v>
      </c>
      <c r="M28" s="182"/>
      <c r="N28" s="182"/>
      <c r="O28" s="205" t="s">
        <v>1026</v>
      </c>
      <c r="P28" s="182"/>
      <c r="Q28" s="196">
        <v>35</v>
      </c>
      <c r="R28" s="189" t="str">
        <f t="shared" si="1"/>
        <v>II-0001.0035</v>
      </c>
      <c r="S28" s="182" t="str">
        <f t="shared" si="3"/>
        <v xml:space="preserve"> Ø16</v>
      </c>
    </row>
    <row r="29" spans="1:19" x14ac:dyDescent="0.2">
      <c r="A29" s="188">
        <v>36</v>
      </c>
      <c r="B29" s="189" t="s">
        <v>1067</v>
      </c>
      <c r="C29" s="84" t="s">
        <v>1044</v>
      </c>
      <c r="D29" s="187" t="s">
        <v>1026</v>
      </c>
      <c r="G29" s="182"/>
      <c r="H29" s="198"/>
      <c r="I29" s="187"/>
      <c r="J29" s="204">
        <v>7</v>
      </c>
      <c r="K29" s="182"/>
      <c r="L29" s="197" t="s">
        <v>1045</v>
      </c>
      <c r="M29" s="182"/>
      <c r="N29" s="182"/>
      <c r="O29" s="205" t="s">
        <v>1026</v>
      </c>
      <c r="P29" s="182"/>
      <c r="Q29" s="196">
        <v>36</v>
      </c>
      <c r="R29" s="189" t="str">
        <f t="shared" si="1"/>
        <v>II-0001.0036</v>
      </c>
      <c r="S29" s="182" t="str">
        <f t="shared" si="3"/>
        <v xml:space="preserve"> Ø18</v>
      </c>
    </row>
    <row r="30" spans="1:19" ht="15.75" thickBot="1" x14ac:dyDescent="0.25">
      <c r="A30" s="188">
        <v>37</v>
      </c>
      <c r="B30" s="189" t="s">
        <v>1068</v>
      </c>
      <c r="C30" s="84" t="s">
        <v>1047</v>
      </c>
      <c r="D30" s="187" t="s">
        <v>1026</v>
      </c>
      <c r="G30" s="182"/>
      <c r="H30" s="213"/>
      <c r="I30" s="214"/>
      <c r="J30" s="215">
        <v>8</v>
      </c>
      <c r="K30" s="216"/>
      <c r="L30" s="217" t="s">
        <v>1048</v>
      </c>
      <c r="M30" s="216"/>
      <c r="N30" s="216"/>
      <c r="O30" s="218" t="s">
        <v>1026</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1069</v>
      </c>
      <c r="C32" s="84" t="s">
        <v>1070</v>
      </c>
      <c r="D32" s="187"/>
      <c r="G32" s="182"/>
      <c r="H32" s="220">
        <v>2</v>
      </c>
      <c r="I32" s="221"/>
      <c r="J32" s="222"/>
      <c r="K32" s="796" t="s">
        <v>1070</v>
      </c>
      <c r="L32" s="796"/>
      <c r="M32" s="796"/>
      <c r="N32" s="796"/>
      <c r="O32" s="223"/>
      <c r="P32" s="182"/>
      <c r="Q32" s="196">
        <f>H32</f>
        <v>2</v>
      </c>
      <c r="R32" s="187" t="str">
        <f>CONCATENATE("II-",TEXT(Q32,"0000"))</f>
        <v>II-0002</v>
      </c>
      <c r="S32" s="197" t="str">
        <f>K32</f>
        <v>ABOVEDAMIENTO  REACONDICIONAMIENTO</v>
      </c>
    </row>
    <row r="33" spans="1:19" ht="15.75" thickBot="1" x14ac:dyDescent="0.25">
      <c r="A33" s="188">
        <v>1</v>
      </c>
      <c r="B33" s="189" t="s">
        <v>1071</v>
      </c>
      <c r="C33" s="84" t="s">
        <v>1072</v>
      </c>
      <c r="D33" s="187" t="s">
        <v>6</v>
      </c>
      <c r="G33" s="182"/>
      <c r="H33" s="224"/>
      <c r="I33" s="225" t="s">
        <v>1022</v>
      </c>
      <c r="J33" s="226"/>
      <c r="K33" s="227" t="s">
        <v>1073</v>
      </c>
      <c r="L33" s="228"/>
      <c r="M33" s="228"/>
      <c r="N33" s="228"/>
      <c r="O33" s="229" t="s">
        <v>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1074</v>
      </c>
      <c r="C35" s="84" t="s">
        <v>1075</v>
      </c>
      <c r="D35" s="187"/>
      <c r="G35" s="182"/>
      <c r="H35" s="220">
        <v>3</v>
      </c>
      <c r="I35" s="222"/>
      <c r="J35" s="222"/>
      <c r="K35" s="231" t="s">
        <v>1075</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1022</v>
      </c>
      <c r="J36" s="200"/>
      <c r="K36" s="230" t="s">
        <v>1076</v>
      </c>
      <c r="L36" s="182"/>
      <c r="M36" s="182"/>
      <c r="N36" s="182"/>
      <c r="O36" s="234"/>
      <c r="P36" s="182"/>
      <c r="Q36" s="182"/>
      <c r="R36" s="182"/>
      <c r="S36" s="182"/>
    </row>
    <row r="37" spans="1:19" x14ac:dyDescent="0.2">
      <c r="A37" s="188">
        <v>1</v>
      </c>
      <c r="B37" s="189" t="s">
        <v>1077</v>
      </c>
      <c r="C37" s="84" t="s">
        <v>1078</v>
      </c>
      <c r="D37" s="187" t="s">
        <v>997</v>
      </c>
      <c r="G37" s="182"/>
      <c r="H37" s="198"/>
      <c r="I37" s="187"/>
      <c r="J37" s="204">
        <v>1</v>
      </c>
      <c r="K37" s="182"/>
      <c r="L37" s="230" t="s">
        <v>1022</v>
      </c>
      <c r="M37" s="235"/>
      <c r="N37" s="182"/>
      <c r="O37" s="219" t="s">
        <v>997</v>
      </c>
      <c r="P37" s="182"/>
      <c r="Q37" s="196">
        <v>1</v>
      </c>
      <c r="R37" s="189" t="str">
        <f>CONCATENATE($R$35,".",TEXT(Q37,"0000"))</f>
        <v>II-0003.0001</v>
      </c>
      <c r="S37" s="182" t="str">
        <f>CONCATENATE($K$36," - TIPO ",L37)</f>
        <v>H-2840-I - TIPO A</v>
      </c>
    </row>
    <row r="38" spans="1:19" x14ac:dyDescent="0.2">
      <c r="A38" s="188">
        <v>2</v>
      </c>
      <c r="B38" s="189" t="s">
        <v>1079</v>
      </c>
      <c r="C38" s="84" t="s">
        <v>1080</v>
      </c>
      <c r="D38" s="187" t="s">
        <v>997</v>
      </c>
      <c r="G38" s="182"/>
      <c r="H38" s="198"/>
      <c r="I38" s="187"/>
      <c r="J38" s="204">
        <v>2</v>
      </c>
      <c r="K38" s="182"/>
      <c r="L38" s="230" t="s">
        <v>1049</v>
      </c>
      <c r="M38" s="235"/>
      <c r="N38" s="182"/>
      <c r="O38" s="219" t="s">
        <v>997</v>
      </c>
      <c r="P38" s="182"/>
      <c r="Q38" s="196">
        <v>2</v>
      </c>
      <c r="R38" s="189" t="str">
        <f t="shared" ref="R38:R42" si="4">CONCATENATE($R$35,".",TEXT(Q38,"0000"))</f>
        <v>II-0003.0002</v>
      </c>
      <c r="S38" s="182" t="str">
        <f t="shared" ref="S38:S40" si="5">CONCATENATE($K$36," - TIPO ",L38)</f>
        <v>H-2840-I - TIPO B</v>
      </c>
    </row>
    <row r="39" spans="1:19" x14ac:dyDescent="0.2">
      <c r="A39" s="188">
        <v>3</v>
      </c>
      <c r="B39" s="189" t="s">
        <v>1081</v>
      </c>
      <c r="C39" s="84" t="s">
        <v>1082</v>
      </c>
      <c r="D39" s="187" t="s">
        <v>997</v>
      </c>
      <c r="G39" s="182"/>
      <c r="H39" s="198"/>
      <c r="I39" s="187"/>
      <c r="J39" s="204">
        <v>3</v>
      </c>
      <c r="K39" s="182"/>
      <c r="L39" s="230" t="s">
        <v>1059</v>
      </c>
      <c r="M39" s="235"/>
      <c r="N39" s="182"/>
      <c r="O39" s="219" t="s">
        <v>997</v>
      </c>
      <c r="P39" s="182"/>
      <c r="Q39" s="196">
        <v>3</v>
      </c>
      <c r="R39" s="189" t="str">
        <f t="shared" si="4"/>
        <v>II-0003.0003</v>
      </c>
      <c r="S39" s="182" t="str">
        <f t="shared" si="5"/>
        <v>H-2840-I - TIPO C</v>
      </c>
    </row>
    <row r="40" spans="1:19" x14ac:dyDescent="0.2">
      <c r="A40" s="188">
        <v>4</v>
      </c>
      <c r="B40" s="181" t="s">
        <v>1083</v>
      </c>
      <c r="C40" s="84" t="s">
        <v>1084</v>
      </c>
      <c r="D40" s="187" t="s">
        <v>997</v>
      </c>
      <c r="G40" s="182"/>
      <c r="H40" s="198"/>
      <c r="I40" s="212"/>
      <c r="J40" s="207">
        <v>4</v>
      </c>
      <c r="K40" s="208"/>
      <c r="L40" s="236" t="s">
        <v>1085</v>
      </c>
      <c r="M40" s="237"/>
      <c r="N40" s="208"/>
      <c r="O40" s="238" t="s">
        <v>997</v>
      </c>
      <c r="P40" s="182"/>
      <c r="Q40" s="196">
        <v>4</v>
      </c>
      <c r="R40" s="189" t="str">
        <f t="shared" si="4"/>
        <v>II-0003.0004</v>
      </c>
      <c r="S40" s="182" t="str">
        <f t="shared" si="5"/>
        <v>H-2840-I - TIPO D</v>
      </c>
    </row>
    <row r="41" spans="1:19" x14ac:dyDescent="0.2">
      <c r="A41" s="188">
        <v>5</v>
      </c>
      <c r="B41" s="189" t="s">
        <v>1086</v>
      </c>
      <c r="C41" s="84" t="s">
        <v>1087</v>
      </c>
      <c r="D41" s="187" t="s">
        <v>997</v>
      </c>
      <c r="G41" s="182"/>
      <c r="H41" s="198"/>
      <c r="I41" s="207" t="s">
        <v>1049</v>
      </c>
      <c r="J41" s="212"/>
      <c r="K41" s="239" t="s">
        <v>1087</v>
      </c>
      <c r="L41" s="240"/>
      <c r="M41" s="240"/>
      <c r="N41" s="240"/>
      <c r="O41" s="241" t="s">
        <v>997</v>
      </c>
      <c r="P41" s="182"/>
      <c r="Q41" s="196">
        <v>5</v>
      </c>
      <c r="R41" s="189" t="str">
        <f t="shared" si="4"/>
        <v>II-0003.0005</v>
      </c>
      <c r="S41" s="182" t="str">
        <f>CONCATENATE($E$36,K41)</f>
        <v>OLIMPICO H-9830</v>
      </c>
    </row>
    <row r="42" spans="1:19" ht="15.75" thickBot="1" x14ac:dyDescent="0.25">
      <c r="A42" s="188">
        <v>6</v>
      </c>
      <c r="B42" s="189" t="s">
        <v>1088</v>
      </c>
      <c r="C42" s="84" t="s">
        <v>1089</v>
      </c>
      <c r="D42" s="187" t="s">
        <v>997</v>
      </c>
      <c r="G42" s="182"/>
      <c r="H42" s="213"/>
      <c r="I42" s="215" t="s">
        <v>1059</v>
      </c>
      <c r="J42" s="226"/>
      <c r="K42" s="227" t="s">
        <v>1089</v>
      </c>
      <c r="L42" s="228"/>
      <c r="M42" s="228"/>
      <c r="N42" s="228"/>
      <c r="O42" s="229" t="s">
        <v>997</v>
      </c>
      <c r="P42" s="182"/>
      <c r="Q42" s="196">
        <v>6</v>
      </c>
      <c r="R42" s="189" t="str">
        <f t="shared" si="4"/>
        <v>II-0003.0006</v>
      </c>
      <c r="S42" s="182" t="str">
        <f>CONCATENATE($E$36,K42)</f>
        <v>TRAZADO C/ REPOSICION  (%)</v>
      </c>
    </row>
    <row r="43" spans="1:19" ht="15.75" thickTop="1" x14ac:dyDescent="0.2">
      <c r="A43" s="188">
        <v>7</v>
      </c>
      <c r="B43" s="189" t="s">
        <v>1090</v>
      </c>
      <c r="C43" s="84" t="s">
        <v>1091</v>
      </c>
      <c r="D43" s="187" t="s">
        <v>997</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1092</v>
      </c>
      <c r="C45" s="84" t="s">
        <v>1093</v>
      </c>
      <c r="D45" s="187"/>
      <c r="G45" s="182"/>
      <c r="H45" s="220">
        <v>4</v>
      </c>
      <c r="I45" s="222"/>
      <c r="J45" s="222"/>
      <c r="K45" s="797" t="s">
        <v>1093</v>
      </c>
      <c r="L45" s="797"/>
      <c r="M45" s="797"/>
      <c r="N45" s="797"/>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1022</v>
      </c>
      <c r="J46" s="200"/>
      <c r="K46" s="201" t="s">
        <v>1094</v>
      </c>
      <c r="L46" s="202"/>
      <c r="M46" s="202"/>
      <c r="N46" s="202"/>
      <c r="O46" s="243"/>
      <c r="P46" s="182"/>
      <c r="Q46" s="182"/>
      <c r="R46" s="182"/>
      <c r="S46" s="182"/>
    </row>
    <row r="47" spans="1:19" x14ac:dyDescent="0.2">
      <c r="A47" s="188">
        <v>1</v>
      </c>
      <c r="B47" s="189" t="s">
        <v>1095</v>
      </c>
      <c r="C47" s="84" t="s">
        <v>1096</v>
      </c>
      <c r="D47" s="187" t="s">
        <v>997</v>
      </c>
      <c r="G47" s="182"/>
      <c r="H47" s="198"/>
      <c r="I47" s="187"/>
      <c r="J47" s="204">
        <v>1</v>
      </c>
      <c r="K47" s="182"/>
      <c r="L47" s="197" t="s">
        <v>1097</v>
      </c>
      <c r="M47" s="182"/>
      <c r="N47" s="182"/>
      <c r="O47" s="219" t="s">
        <v>997</v>
      </c>
      <c r="P47" s="182"/>
      <c r="Q47" s="196">
        <v>1</v>
      </c>
      <c r="R47" s="189" t="str">
        <f>CONCATENATE($R$45,".",TEXT(Q47,"0000"))</f>
        <v>II-0004.0001</v>
      </c>
      <c r="S47" s="182" t="str">
        <f>CONCATENATE($K$46," - TIPO ",L47)</f>
        <v>H-10209 - TIPO H-9987</v>
      </c>
    </row>
    <row r="48" spans="1:19" x14ac:dyDescent="0.2">
      <c r="A48" s="188">
        <v>2</v>
      </c>
      <c r="B48" s="181" t="s">
        <v>1098</v>
      </c>
      <c r="C48" s="84" t="s">
        <v>1099</v>
      </c>
      <c r="D48" s="187" t="s">
        <v>997</v>
      </c>
      <c r="G48" s="182"/>
      <c r="H48" s="198"/>
      <c r="I48" s="187"/>
      <c r="J48" s="207">
        <v>2</v>
      </c>
      <c r="K48" s="182"/>
      <c r="L48" s="197" t="s">
        <v>1100</v>
      </c>
      <c r="M48" s="182"/>
      <c r="N48" s="182"/>
      <c r="O48" s="219" t="s">
        <v>997</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1049</v>
      </c>
      <c r="J49" s="200"/>
      <c r="K49" s="201" t="s">
        <v>1101</v>
      </c>
      <c r="L49" s="202"/>
      <c r="M49" s="202"/>
      <c r="N49" s="202"/>
      <c r="O49" s="243"/>
      <c r="P49" s="182"/>
      <c r="Q49" s="182"/>
      <c r="R49" s="182"/>
      <c r="S49" s="182"/>
    </row>
    <row r="50" spans="1:19" x14ac:dyDescent="0.2">
      <c r="A50" s="188">
        <v>3</v>
      </c>
      <c r="B50" s="181" t="s">
        <v>1102</v>
      </c>
      <c r="C50" s="206" t="s">
        <v>1103</v>
      </c>
      <c r="D50" s="187" t="s">
        <v>997</v>
      </c>
      <c r="G50" s="182"/>
      <c r="H50" s="198"/>
      <c r="I50" s="187"/>
      <c r="J50" s="204">
        <v>1</v>
      </c>
      <c r="K50" s="182"/>
      <c r="L50" s="197" t="s">
        <v>1097</v>
      </c>
      <c r="M50" s="182"/>
      <c r="N50" s="182"/>
      <c r="O50" s="219" t="s">
        <v>997</v>
      </c>
      <c r="P50" s="182"/>
      <c r="Q50" s="196">
        <v>3</v>
      </c>
      <c r="R50" s="189" t="str">
        <f>CONCATENATE($R$45,".",TEXT(Q50,"0000"))</f>
        <v>II-0004.0003</v>
      </c>
      <c r="S50" s="182" t="str">
        <f>CONCATENATE($K$49," - TIPO ",L50)</f>
        <v>H-10235 - TIPO H-9987</v>
      </c>
    </row>
    <row r="51" spans="1:19" x14ac:dyDescent="0.2">
      <c r="A51" s="188">
        <v>4</v>
      </c>
      <c r="B51" s="189" t="s">
        <v>1104</v>
      </c>
      <c r="C51" s="84" t="s">
        <v>1105</v>
      </c>
      <c r="D51" s="187" t="s">
        <v>997</v>
      </c>
      <c r="G51" s="182"/>
      <c r="H51" s="198"/>
      <c r="I51" s="187"/>
      <c r="J51" s="207">
        <v>2</v>
      </c>
      <c r="K51" s="182"/>
      <c r="L51" s="197" t="s">
        <v>1100</v>
      </c>
      <c r="M51" s="182"/>
      <c r="N51" s="182"/>
      <c r="O51" s="219" t="s">
        <v>997</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1059</v>
      </c>
      <c r="J52" s="200"/>
      <c r="K52" s="201" t="s">
        <v>1106</v>
      </c>
      <c r="L52" s="202"/>
      <c r="M52" s="202"/>
      <c r="N52" s="202"/>
      <c r="O52" s="243"/>
      <c r="P52" s="182"/>
      <c r="Q52" s="182"/>
      <c r="R52" s="182"/>
      <c r="S52" s="182"/>
    </row>
    <row r="53" spans="1:19" ht="15.75" thickBot="1" x14ac:dyDescent="0.25">
      <c r="A53" s="188">
        <v>5</v>
      </c>
      <c r="B53" s="189" t="s">
        <v>1107</v>
      </c>
      <c r="C53" s="84" t="s">
        <v>1108</v>
      </c>
      <c r="D53" s="187" t="s">
        <v>997</v>
      </c>
      <c r="G53" s="182"/>
      <c r="H53" s="244"/>
      <c r="I53" s="245"/>
      <c r="J53" s="246">
        <v>1</v>
      </c>
      <c r="K53" s="247"/>
      <c r="L53" s="248" t="s">
        <v>1109</v>
      </c>
      <c r="M53" s="247"/>
      <c r="N53" s="247"/>
      <c r="O53" s="249" t="s">
        <v>997</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1092</v>
      </c>
      <c r="C55" s="84" t="s">
        <v>1093</v>
      </c>
      <c r="D55" s="187"/>
      <c r="G55" s="182"/>
      <c r="H55" s="220">
        <v>4</v>
      </c>
      <c r="I55" s="222"/>
      <c r="J55" s="222"/>
      <c r="K55" s="797" t="s">
        <v>1093</v>
      </c>
      <c r="L55" s="797"/>
      <c r="M55" s="797"/>
      <c r="N55" s="797"/>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1085</v>
      </c>
      <c r="J56" s="200"/>
      <c r="K56" s="197" t="s">
        <v>1050</v>
      </c>
      <c r="L56" s="182"/>
      <c r="M56" s="182"/>
      <c r="N56" s="182"/>
      <c r="O56" s="234"/>
      <c r="P56" s="182"/>
      <c r="Q56" s="182"/>
      <c r="R56" s="182"/>
      <c r="S56" s="182"/>
    </row>
    <row r="57" spans="1:19" x14ac:dyDescent="0.2">
      <c r="A57" s="188">
        <v>10</v>
      </c>
      <c r="B57" s="189" t="s">
        <v>1110</v>
      </c>
      <c r="C57" s="84" t="s">
        <v>1111</v>
      </c>
      <c r="D57" s="187" t="s">
        <v>997</v>
      </c>
      <c r="G57" s="182"/>
      <c r="H57" s="198"/>
      <c r="I57" s="187"/>
      <c r="J57" s="204">
        <v>1</v>
      </c>
      <c r="K57" s="182"/>
      <c r="L57" s="197" t="s">
        <v>1112</v>
      </c>
      <c r="M57" s="182"/>
      <c r="N57" s="182"/>
      <c r="O57" s="234" t="s">
        <v>997</v>
      </c>
      <c r="P57" s="182"/>
      <c r="Q57" s="196">
        <v>10</v>
      </c>
      <c r="R57" s="189" t="str">
        <f>CONCATENATE($R$45,".",TEXT(Q57,"0000"))</f>
        <v>II-0004.0010</v>
      </c>
      <c r="S57" s="182" t="str">
        <f>CONCATENATE($K$56," - TIPO ",L57)</f>
        <v>ESPECIAL - TIPO BOVEDA PERFIL ALTO Z-6584</v>
      </c>
    </row>
    <row r="58" spans="1:19" x14ac:dyDescent="0.2">
      <c r="A58" s="188">
        <v>11</v>
      </c>
      <c r="B58" s="189" t="s">
        <v>1113</v>
      </c>
      <c r="C58" s="84" t="s">
        <v>1114</v>
      </c>
      <c r="D58" s="187" t="s">
        <v>997</v>
      </c>
      <c r="G58" s="182"/>
      <c r="H58" s="198"/>
      <c r="I58" s="187"/>
      <c r="J58" s="204">
        <v>2</v>
      </c>
      <c r="K58" s="182"/>
      <c r="L58" s="197" t="s">
        <v>1115</v>
      </c>
      <c r="M58" s="182"/>
      <c r="N58" s="182"/>
      <c r="O58" s="234" t="s">
        <v>997</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1116</v>
      </c>
      <c r="C59" s="84" t="s">
        <v>1117</v>
      </c>
      <c r="D59" s="187" t="s">
        <v>997</v>
      </c>
      <c r="G59" s="182"/>
      <c r="H59" s="198"/>
      <c r="I59" s="187"/>
      <c r="J59" s="204">
        <v>3</v>
      </c>
      <c r="K59" s="182"/>
      <c r="L59" s="197" t="s">
        <v>1118</v>
      </c>
      <c r="M59" s="182"/>
      <c r="N59" s="182"/>
      <c r="O59" s="234" t="s">
        <v>997</v>
      </c>
      <c r="P59" s="182"/>
      <c r="Q59" s="196">
        <v>12</v>
      </c>
      <c r="R59" s="189" t="str">
        <f t="shared" si="6"/>
        <v>II-0004.0012</v>
      </c>
      <c r="S59" s="182" t="str">
        <f t="shared" si="7"/>
        <v>ESPECIAL - TIPO CIRCULAR</v>
      </c>
    </row>
    <row r="60" spans="1:19" x14ac:dyDescent="0.2">
      <c r="A60" s="188">
        <v>13</v>
      </c>
      <c r="B60" s="181" t="s">
        <v>1119</v>
      </c>
      <c r="C60" s="84" t="s">
        <v>1120</v>
      </c>
      <c r="D60" s="187" t="s">
        <v>997</v>
      </c>
      <c r="G60" s="182"/>
      <c r="H60" s="198"/>
      <c r="I60" s="187"/>
      <c r="J60" s="204">
        <v>4</v>
      </c>
      <c r="K60" s="182"/>
      <c r="L60" s="197" t="s">
        <v>1121</v>
      </c>
      <c r="M60" s="182"/>
      <c r="N60" s="182"/>
      <c r="O60" s="234" t="s">
        <v>997</v>
      </c>
      <c r="P60" s="182"/>
      <c r="Q60" s="196">
        <v>13</v>
      </c>
      <c r="R60" s="189" t="str">
        <f t="shared" si="6"/>
        <v>II-0004.0013</v>
      </c>
      <c r="S60" s="182" t="str">
        <f t="shared" si="7"/>
        <v>ESPECIAL - TIPO ELIPTICA</v>
      </c>
    </row>
    <row r="61" spans="1:19" x14ac:dyDescent="0.2">
      <c r="A61" s="188">
        <v>14</v>
      </c>
      <c r="B61" s="189" t="s">
        <v>1122</v>
      </c>
      <c r="C61" s="84" t="s">
        <v>1123</v>
      </c>
      <c r="D61" s="187" t="s">
        <v>997</v>
      </c>
      <c r="G61" s="182"/>
      <c r="H61" s="198"/>
      <c r="I61" s="251"/>
      <c r="J61" s="207">
        <v>5</v>
      </c>
      <c r="K61" s="208"/>
      <c r="L61" s="209" t="s">
        <v>1124</v>
      </c>
      <c r="M61" s="208"/>
      <c r="N61" s="208"/>
      <c r="O61" s="252" t="s">
        <v>997</v>
      </c>
      <c r="P61" s="182"/>
      <c r="Q61" s="196">
        <v>14</v>
      </c>
      <c r="R61" s="189" t="str">
        <f t="shared" si="6"/>
        <v>II-0004.0014</v>
      </c>
      <c r="S61" s="182" t="str">
        <f t="shared" si="7"/>
        <v>ESPECIAL - TIPO ELIPTICA P/ FERROCARRIL Z-6584</v>
      </c>
    </row>
    <row r="62" spans="1:19" x14ac:dyDescent="0.2">
      <c r="A62" s="188">
        <v>20</v>
      </c>
      <c r="B62" s="189" t="s">
        <v>1125</v>
      </c>
      <c r="C62" s="84" t="s">
        <v>1126</v>
      </c>
      <c r="D62" s="187" t="s">
        <v>997</v>
      </c>
      <c r="G62" s="182"/>
      <c r="H62" s="253"/>
      <c r="I62" s="212" t="s">
        <v>1127</v>
      </c>
      <c r="J62" s="212"/>
      <c r="K62" s="254" t="s">
        <v>1126</v>
      </c>
      <c r="L62" s="255"/>
      <c r="M62" s="255"/>
      <c r="N62" s="255"/>
      <c r="O62" s="252" t="s">
        <v>997</v>
      </c>
      <c r="P62" s="182"/>
      <c r="Q62" s="196">
        <v>20</v>
      </c>
      <c r="R62" s="189" t="str">
        <f t="shared" si="6"/>
        <v>II-0004.0020</v>
      </c>
      <c r="S62" s="182" t="str">
        <f>CONCATENATE(K62)</f>
        <v>PINTURA</v>
      </c>
    </row>
    <row r="63" spans="1:19" x14ac:dyDescent="0.2">
      <c r="A63" s="188">
        <v>21</v>
      </c>
      <c r="B63" s="181" t="s">
        <v>1128</v>
      </c>
      <c r="C63" s="84" t="s">
        <v>1129</v>
      </c>
      <c r="D63" s="187" t="s">
        <v>997</v>
      </c>
      <c r="G63" s="182"/>
      <c r="H63" s="253"/>
      <c r="I63" s="212" t="s">
        <v>1130</v>
      </c>
      <c r="J63" s="212"/>
      <c r="K63" s="798" t="s">
        <v>1129</v>
      </c>
      <c r="L63" s="798"/>
      <c r="M63" s="255"/>
      <c r="N63" s="255"/>
      <c r="O63" s="256" t="s">
        <v>997</v>
      </c>
      <c r="P63" s="182"/>
      <c r="Q63" s="196">
        <v>21</v>
      </c>
      <c r="R63" s="189" t="str">
        <f t="shared" si="6"/>
        <v>II-0004.0021</v>
      </c>
      <c r="S63" s="182" t="str">
        <f t="shared" ref="S63:S67" si="8">CONCATENATE(K63)</f>
        <v>COLOCACION</v>
      </c>
    </row>
    <row r="64" spans="1:19" x14ac:dyDescent="0.2">
      <c r="A64" s="188">
        <v>22</v>
      </c>
      <c r="B64" s="189" t="s">
        <v>1131</v>
      </c>
      <c r="C64" s="84" t="s">
        <v>1132</v>
      </c>
      <c r="D64" s="187" t="s">
        <v>1133</v>
      </c>
      <c r="G64" s="182"/>
      <c r="H64" s="253"/>
      <c r="I64" s="212" t="s">
        <v>1134</v>
      </c>
      <c r="J64" s="212"/>
      <c r="K64" s="798" t="s">
        <v>1132</v>
      </c>
      <c r="L64" s="798"/>
      <c r="M64" s="255"/>
      <c r="N64" s="255"/>
      <c r="O64" s="256" t="s">
        <v>1133</v>
      </c>
      <c r="P64" s="182"/>
      <c r="Q64" s="196">
        <v>22</v>
      </c>
      <c r="R64" s="189" t="str">
        <f t="shared" si="6"/>
        <v>II-0004.0022</v>
      </c>
      <c r="S64" s="182" t="str">
        <f t="shared" si="8"/>
        <v>RELLENO DE SOCAVACION</v>
      </c>
    </row>
    <row r="65" spans="1:19" x14ac:dyDescent="0.2">
      <c r="A65" s="188">
        <v>23</v>
      </c>
      <c r="B65" s="189" t="s">
        <v>1135</v>
      </c>
      <c r="C65" s="84" t="s">
        <v>1136</v>
      </c>
      <c r="D65" s="187" t="s">
        <v>997</v>
      </c>
      <c r="G65" s="182"/>
      <c r="H65" s="253"/>
      <c r="I65" s="199" t="s">
        <v>1137</v>
      </c>
      <c r="J65" s="240"/>
      <c r="K65" s="257" t="s">
        <v>1136</v>
      </c>
      <c r="L65" s="240"/>
      <c r="M65" s="240"/>
      <c r="N65" s="240"/>
      <c r="O65" s="256" t="s">
        <v>997</v>
      </c>
      <c r="P65" s="182"/>
      <c r="Q65" s="196">
        <v>23</v>
      </c>
      <c r="R65" s="189" t="str">
        <f t="shared" si="6"/>
        <v>II-0004.0023</v>
      </c>
      <c r="S65" s="182" t="str">
        <f t="shared" si="8"/>
        <v>REPARACION</v>
      </c>
    </row>
    <row r="66" spans="1:19" x14ac:dyDescent="0.2">
      <c r="A66" s="188">
        <v>24</v>
      </c>
      <c r="B66" s="181" t="s">
        <v>1138</v>
      </c>
      <c r="C66" s="84" t="s">
        <v>1139</v>
      </c>
      <c r="D66" s="187" t="s">
        <v>997</v>
      </c>
      <c r="G66" s="182"/>
      <c r="H66" s="253"/>
      <c r="I66" s="199" t="s">
        <v>889</v>
      </c>
      <c r="J66" s="240"/>
      <c r="K66" s="257" t="s">
        <v>1139</v>
      </c>
      <c r="L66" s="240"/>
      <c r="M66" s="240"/>
      <c r="N66" s="240"/>
      <c r="O66" s="256" t="s">
        <v>997</v>
      </c>
      <c r="P66" s="182"/>
      <c r="Q66" s="196">
        <v>24</v>
      </c>
      <c r="R66" s="189" t="str">
        <f t="shared" si="6"/>
        <v>II-0004.0024</v>
      </c>
      <c r="S66" s="182" t="str">
        <f t="shared" si="8"/>
        <v>RETIRO Y RECOLOCACION</v>
      </c>
    </row>
    <row r="67" spans="1:19" ht="15.75" thickBot="1" x14ac:dyDescent="0.25">
      <c r="A67" s="188">
        <v>25</v>
      </c>
      <c r="B67" s="181" t="s">
        <v>1140</v>
      </c>
      <c r="C67" s="84" t="s">
        <v>1141</v>
      </c>
      <c r="D67" s="187" t="s">
        <v>997</v>
      </c>
      <c r="G67" s="182"/>
      <c r="H67" s="258"/>
      <c r="I67" s="225" t="s">
        <v>1142</v>
      </c>
      <c r="J67" s="228"/>
      <c r="K67" s="259" t="s">
        <v>1141</v>
      </c>
      <c r="L67" s="228"/>
      <c r="M67" s="228"/>
      <c r="N67" s="228"/>
      <c r="O67" s="260" t="s">
        <v>997</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1143</v>
      </c>
      <c r="C69" s="84" t="s">
        <v>1144</v>
      </c>
      <c r="D69" s="187"/>
      <c r="G69" s="182"/>
      <c r="H69" s="220">
        <v>5</v>
      </c>
      <c r="I69" s="222"/>
      <c r="J69" s="232"/>
      <c r="K69" s="261" t="s">
        <v>1144</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1022</v>
      </c>
      <c r="J70" s="202"/>
      <c r="K70" s="197" t="s">
        <v>1118</v>
      </c>
      <c r="L70" s="182"/>
      <c r="M70" s="182"/>
      <c r="N70" s="182"/>
      <c r="O70" s="234"/>
      <c r="P70" s="182"/>
      <c r="Q70" s="182"/>
      <c r="R70" s="182"/>
      <c r="S70" s="182"/>
    </row>
    <row r="71" spans="1:19" x14ac:dyDescent="0.2">
      <c r="A71" s="188">
        <v>1</v>
      </c>
      <c r="B71" s="189" t="s">
        <v>1145</v>
      </c>
      <c r="C71" s="84" t="s">
        <v>1146</v>
      </c>
      <c r="D71" s="187" t="s">
        <v>997</v>
      </c>
      <c r="G71" s="182"/>
      <c r="H71" s="198"/>
      <c r="I71" s="187"/>
      <c r="J71" s="204">
        <v>1</v>
      </c>
      <c r="K71" s="182"/>
      <c r="L71" s="197" t="s">
        <v>1147</v>
      </c>
      <c r="M71" s="182"/>
      <c r="N71" s="182"/>
      <c r="O71" s="234" t="s">
        <v>997</v>
      </c>
      <c r="P71" s="182"/>
      <c r="Q71" s="196">
        <v>1</v>
      </c>
      <c r="R71" s="189" t="str">
        <f>CONCATENATE($R$69,".",TEXT(Q71,"0000"))</f>
        <v>II-0005.0001</v>
      </c>
      <c r="S71" s="182" t="str">
        <f>CONCATENATE($K$70," - TIPO ",L71)</f>
        <v>CIRCULAR - TIPO A-82</v>
      </c>
    </row>
    <row r="72" spans="1:19" x14ac:dyDescent="0.2">
      <c r="A72" s="188">
        <v>2</v>
      </c>
      <c r="B72" s="189" t="s">
        <v>1148</v>
      </c>
      <c r="C72" s="84" t="s">
        <v>1149</v>
      </c>
      <c r="D72" s="187" t="s">
        <v>997</v>
      </c>
      <c r="G72" s="182"/>
      <c r="H72" s="198"/>
      <c r="I72" s="212"/>
      <c r="J72" s="207">
        <v>2</v>
      </c>
      <c r="K72" s="208"/>
      <c r="L72" s="209" t="s">
        <v>1100</v>
      </c>
      <c r="M72" s="208"/>
      <c r="N72" s="208"/>
      <c r="O72" s="252" t="s">
        <v>997</v>
      </c>
      <c r="P72" s="182"/>
      <c r="Q72" s="196">
        <v>2</v>
      </c>
      <c r="R72" s="189" t="str">
        <f>CONCATENATE($R$69,".",TEXT(Q72,"0000"))</f>
        <v>II-0005.0002</v>
      </c>
      <c r="S72" s="182" t="str">
        <f>CONCATENATE($K$70," - TIPO ",L72)</f>
        <v>CIRCULAR - TIPO H-2993</v>
      </c>
    </row>
    <row r="73" spans="1:19" x14ac:dyDescent="0.2">
      <c r="A73" s="188"/>
      <c r="B73" s="181"/>
      <c r="C73" s="84"/>
      <c r="D73" s="187" t="s">
        <v>997</v>
      </c>
      <c r="G73" s="182"/>
      <c r="H73" s="198"/>
      <c r="I73" s="207" t="s">
        <v>1049</v>
      </c>
      <c r="J73" s="187"/>
      <c r="K73" s="197" t="s">
        <v>1150</v>
      </c>
      <c r="L73" s="197"/>
      <c r="M73" s="182"/>
      <c r="N73" s="182"/>
      <c r="O73" s="234" t="s">
        <v>997</v>
      </c>
      <c r="P73" s="182"/>
      <c r="Q73" s="182"/>
      <c r="R73" s="182"/>
      <c r="S73" s="182"/>
    </row>
    <row r="74" spans="1:19" x14ac:dyDescent="0.2">
      <c r="A74" s="188">
        <v>10</v>
      </c>
      <c r="B74" s="181" t="s">
        <v>1151</v>
      </c>
      <c r="C74" s="84" t="s">
        <v>1152</v>
      </c>
      <c r="D74" s="187" t="s">
        <v>997</v>
      </c>
      <c r="G74" s="182"/>
      <c r="H74" s="198"/>
      <c r="I74" s="187"/>
      <c r="J74" s="204">
        <v>1</v>
      </c>
      <c r="K74" s="182"/>
      <c r="L74" s="197" t="s">
        <v>1153</v>
      </c>
      <c r="M74" s="182"/>
      <c r="N74" s="182"/>
      <c r="O74" s="219" t="s">
        <v>997</v>
      </c>
      <c r="P74" s="182"/>
      <c r="Q74" s="196">
        <v>10</v>
      </c>
      <c r="R74" s="189" t="str">
        <f>CONCATENATE($R$69,".",TEXT(Q74,"0000"))</f>
        <v>II-0005.0010</v>
      </c>
      <c r="S74" s="182" t="str">
        <f>CONCATENATE($K$73," - TIPO ",L74)</f>
        <v>RECTANGULAR - TIPO H-1900-BIS-1</v>
      </c>
    </row>
    <row r="75" spans="1:19" x14ac:dyDescent="0.2">
      <c r="A75" s="188">
        <v>11</v>
      </c>
      <c r="B75" s="181" t="s">
        <v>1154</v>
      </c>
      <c r="C75" s="206" t="s">
        <v>1155</v>
      </c>
      <c r="D75" s="187" t="s">
        <v>997</v>
      </c>
      <c r="G75" s="182"/>
      <c r="H75" s="198"/>
      <c r="I75" s="187"/>
      <c r="J75" s="204">
        <v>2</v>
      </c>
      <c r="K75" s="182"/>
      <c r="L75" s="197" t="s">
        <v>1156</v>
      </c>
      <c r="M75" s="182"/>
      <c r="N75" s="182"/>
      <c r="O75" s="219" t="s">
        <v>997</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1157</v>
      </c>
      <c r="C76" s="84" t="s">
        <v>1158</v>
      </c>
      <c r="D76" s="187" t="s">
        <v>997</v>
      </c>
      <c r="G76" s="182"/>
      <c r="H76" s="198"/>
      <c r="I76" s="187"/>
      <c r="J76" s="204">
        <v>3</v>
      </c>
      <c r="K76" s="182"/>
      <c r="L76" s="197" t="s">
        <v>1159</v>
      </c>
      <c r="M76" s="182"/>
      <c r="N76" s="182"/>
      <c r="O76" s="219" t="s">
        <v>997</v>
      </c>
      <c r="P76" s="182"/>
      <c r="Q76" s="196">
        <v>12</v>
      </c>
      <c r="R76" s="189" t="str">
        <f t="shared" si="9"/>
        <v>II-0005.0012</v>
      </c>
      <c r="S76" s="182" t="str">
        <f t="shared" si="10"/>
        <v>RECTANGULAR - TIPO Z-959</v>
      </c>
    </row>
    <row r="77" spans="1:19" x14ac:dyDescent="0.2">
      <c r="A77" s="188">
        <v>13</v>
      </c>
      <c r="B77" s="189" t="s">
        <v>1160</v>
      </c>
      <c r="C77" s="84" t="s">
        <v>1161</v>
      </c>
      <c r="D77" s="187" t="s">
        <v>997</v>
      </c>
      <c r="G77" s="182"/>
      <c r="H77" s="198"/>
      <c r="I77" s="187"/>
      <c r="J77" s="204">
        <v>4</v>
      </c>
      <c r="K77" s="182"/>
      <c r="L77" s="197" t="s">
        <v>1162</v>
      </c>
      <c r="M77" s="182"/>
      <c r="N77" s="182"/>
      <c r="O77" s="219" t="s">
        <v>997</v>
      </c>
      <c r="P77" s="182"/>
      <c r="Q77" s="196">
        <v>13</v>
      </c>
      <c r="R77" s="189" t="str">
        <f t="shared" si="9"/>
        <v>II-0005.0013</v>
      </c>
      <c r="S77" s="182" t="str">
        <f t="shared" si="10"/>
        <v>RECTANGULAR - TIPO Z-2915-I</v>
      </c>
    </row>
    <row r="78" spans="1:19" x14ac:dyDescent="0.2">
      <c r="A78" s="188">
        <v>14</v>
      </c>
      <c r="B78" s="189" t="s">
        <v>1163</v>
      </c>
      <c r="C78" s="84" t="s">
        <v>1164</v>
      </c>
      <c r="D78" s="187" t="s">
        <v>997</v>
      </c>
      <c r="G78" s="182"/>
      <c r="H78" s="198"/>
      <c r="I78" s="187"/>
      <c r="J78" s="204">
        <v>5</v>
      </c>
      <c r="K78" s="182"/>
      <c r="L78" s="197" t="s">
        <v>1165</v>
      </c>
      <c r="M78" s="182"/>
      <c r="N78" s="182"/>
      <c r="O78" s="219" t="s">
        <v>997</v>
      </c>
      <c r="P78" s="182"/>
      <c r="Q78" s="196">
        <v>14</v>
      </c>
      <c r="R78" s="189" t="str">
        <f t="shared" si="9"/>
        <v>II-0005.0014</v>
      </c>
      <c r="S78" s="182" t="str">
        <f t="shared" si="10"/>
        <v>RECTANGULAR - TIPO Z-2916-I</v>
      </c>
    </row>
    <row r="79" spans="1:19" x14ac:dyDescent="0.2">
      <c r="A79" s="188">
        <v>15</v>
      </c>
      <c r="B79" s="189" t="s">
        <v>1166</v>
      </c>
      <c r="C79" s="84" t="s">
        <v>1167</v>
      </c>
      <c r="D79" s="187" t="s">
        <v>997</v>
      </c>
      <c r="G79" s="182"/>
      <c r="H79" s="198"/>
      <c r="I79" s="187"/>
      <c r="J79" s="204">
        <v>6</v>
      </c>
      <c r="K79" s="182"/>
      <c r="L79" s="197" t="s">
        <v>1168</v>
      </c>
      <c r="M79" s="182"/>
      <c r="N79" s="182"/>
      <c r="O79" s="219" t="s">
        <v>997</v>
      </c>
      <c r="P79" s="182"/>
      <c r="Q79" s="196">
        <v>15</v>
      </c>
      <c r="R79" s="189" t="str">
        <f t="shared" si="9"/>
        <v>II-0005.0015</v>
      </c>
      <c r="S79" s="182" t="str">
        <f t="shared" si="10"/>
        <v>RECTANGULAR - TIPO A-505</v>
      </c>
    </row>
    <row r="80" spans="1:19" x14ac:dyDescent="0.2">
      <c r="A80" s="188">
        <v>16</v>
      </c>
      <c r="B80" s="181" t="s">
        <v>1169</v>
      </c>
      <c r="C80" s="84" t="s">
        <v>1170</v>
      </c>
      <c r="D80" s="187" t="s">
        <v>997</v>
      </c>
      <c r="G80" s="182"/>
      <c r="H80" s="198"/>
      <c r="I80" s="187"/>
      <c r="J80" s="204">
        <v>7</v>
      </c>
      <c r="K80" s="182"/>
      <c r="L80" s="197" t="s">
        <v>1171</v>
      </c>
      <c r="M80" s="182"/>
      <c r="N80" s="182"/>
      <c r="O80" s="219" t="s">
        <v>997</v>
      </c>
      <c r="P80" s="182"/>
      <c r="Q80" s="196">
        <v>16</v>
      </c>
      <c r="R80" s="189" t="str">
        <f t="shared" si="9"/>
        <v>II-0005.0016</v>
      </c>
      <c r="S80" s="182" t="str">
        <f t="shared" si="10"/>
        <v>RECTANGULAR - TIPO A-660</v>
      </c>
    </row>
    <row r="81" spans="1:19" x14ac:dyDescent="0.2">
      <c r="A81" s="188">
        <v>17</v>
      </c>
      <c r="B81" s="181" t="s">
        <v>1172</v>
      </c>
      <c r="C81" s="84" t="s">
        <v>1173</v>
      </c>
      <c r="D81" s="187" t="s">
        <v>997</v>
      </c>
      <c r="G81" s="182"/>
      <c r="H81" s="198"/>
      <c r="I81" s="187"/>
      <c r="J81" s="204">
        <v>8</v>
      </c>
      <c r="K81" s="182"/>
      <c r="L81" s="197" t="s">
        <v>1174</v>
      </c>
      <c r="M81" s="182"/>
      <c r="N81" s="182"/>
      <c r="O81" s="219" t="s">
        <v>997</v>
      </c>
      <c r="P81" s="182"/>
      <c r="Q81" s="196">
        <v>17</v>
      </c>
      <c r="R81" s="189" t="str">
        <f t="shared" si="9"/>
        <v>II-0005.0017</v>
      </c>
      <c r="S81" s="182" t="str">
        <f t="shared" si="10"/>
        <v>RECTANGULAR - TIPO O-41211-MODIFICADA</v>
      </c>
    </row>
    <row r="82" spans="1:19" x14ac:dyDescent="0.2">
      <c r="A82" s="188">
        <v>18</v>
      </c>
      <c r="B82" s="181" t="s">
        <v>1175</v>
      </c>
      <c r="C82" s="206" t="s">
        <v>1176</v>
      </c>
      <c r="D82" s="187" t="s">
        <v>997</v>
      </c>
      <c r="G82" s="182"/>
      <c r="H82" s="198"/>
      <c r="I82" s="187"/>
      <c r="J82" s="204">
        <v>9</v>
      </c>
      <c r="K82" s="182"/>
      <c r="L82" s="197" t="s">
        <v>1177</v>
      </c>
      <c r="M82" s="182"/>
      <c r="N82" s="182"/>
      <c r="O82" s="219" t="s">
        <v>997</v>
      </c>
      <c r="P82" s="182"/>
      <c r="Q82" s="196">
        <v>18</v>
      </c>
      <c r="R82" s="189" t="str">
        <f t="shared" si="9"/>
        <v>II-0005.0018</v>
      </c>
      <c r="S82" s="182" t="str">
        <f t="shared" si="10"/>
        <v>RECTANGULAR - TIPO X-1113</v>
      </c>
    </row>
    <row r="83" spans="1:19" x14ac:dyDescent="0.2">
      <c r="A83" s="188">
        <v>19</v>
      </c>
      <c r="B83" s="189" t="s">
        <v>1178</v>
      </c>
      <c r="C83" s="84" t="s">
        <v>1179</v>
      </c>
      <c r="D83" s="187" t="s">
        <v>997</v>
      </c>
      <c r="G83" s="182"/>
      <c r="H83" s="198"/>
      <c r="I83" s="187"/>
      <c r="J83" s="204">
        <v>10</v>
      </c>
      <c r="K83" s="182"/>
      <c r="L83" s="197" t="s">
        <v>1180</v>
      </c>
      <c r="M83" s="182"/>
      <c r="N83" s="182"/>
      <c r="O83" s="219" t="s">
        <v>997</v>
      </c>
      <c r="P83" s="182"/>
      <c r="Q83" s="196">
        <v>19</v>
      </c>
      <c r="R83" s="189" t="str">
        <f t="shared" si="9"/>
        <v>II-0005.0019</v>
      </c>
      <c r="S83" s="182" t="str">
        <f t="shared" si="10"/>
        <v>RECTANGULAR - TIPO 0-52229</v>
      </c>
    </row>
    <row r="84" spans="1:19" x14ac:dyDescent="0.2">
      <c r="A84" s="188">
        <v>20</v>
      </c>
      <c r="B84" s="189" t="s">
        <v>1181</v>
      </c>
      <c r="C84" s="84" t="s">
        <v>1182</v>
      </c>
      <c r="D84" s="187" t="s">
        <v>997</v>
      </c>
      <c r="G84" s="182"/>
      <c r="H84" s="198"/>
      <c r="I84" s="187"/>
      <c r="J84" s="204">
        <v>11</v>
      </c>
      <c r="K84" s="182"/>
      <c r="L84" s="197" t="s">
        <v>1183</v>
      </c>
      <c r="M84" s="182"/>
      <c r="N84" s="182"/>
      <c r="O84" s="219" t="s">
        <v>997</v>
      </c>
      <c r="P84" s="182"/>
      <c r="Q84" s="196">
        <v>20</v>
      </c>
      <c r="R84" s="189" t="str">
        <f t="shared" si="9"/>
        <v>II-0005.0020</v>
      </c>
      <c r="S84" s="182" t="str">
        <f t="shared" si="10"/>
        <v>RECTANGULAR - TIPO 0-52233</v>
      </c>
    </row>
    <row r="85" spans="1:19" x14ac:dyDescent="0.2">
      <c r="A85" s="188">
        <v>21</v>
      </c>
      <c r="B85" s="181" t="s">
        <v>1184</v>
      </c>
      <c r="C85" s="84" t="s">
        <v>1185</v>
      </c>
      <c r="D85" s="187" t="s">
        <v>997</v>
      </c>
      <c r="G85" s="182"/>
      <c r="H85" s="198"/>
      <c r="I85" s="212"/>
      <c r="J85" s="207">
        <v>12</v>
      </c>
      <c r="K85" s="182"/>
      <c r="L85" s="209" t="s">
        <v>1186</v>
      </c>
      <c r="M85" s="208"/>
      <c r="N85" s="208"/>
      <c r="O85" s="238" t="s">
        <v>997</v>
      </c>
      <c r="P85" s="182"/>
      <c r="Q85" s="196">
        <v>21</v>
      </c>
      <c r="R85" s="189" t="str">
        <f t="shared" si="9"/>
        <v>II-0005.0021</v>
      </c>
      <c r="S85" s="182" t="str">
        <f t="shared" si="10"/>
        <v>RECTANGULAR - TIPO 0-52241</v>
      </c>
    </row>
    <row r="86" spans="1:19" x14ac:dyDescent="0.2">
      <c r="A86" s="188">
        <v>30</v>
      </c>
      <c r="B86" s="181" t="s">
        <v>1187</v>
      </c>
      <c r="C86" s="84" t="s">
        <v>1129</v>
      </c>
      <c r="D86" s="187" t="s">
        <v>997</v>
      </c>
      <c r="G86" s="182"/>
      <c r="H86" s="198"/>
      <c r="I86" s="199" t="s">
        <v>1059</v>
      </c>
      <c r="J86" s="212"/>
      <c r="K86" s="257" t="s">
        <v>1129</v>
      </c>
      <c r="L86" s="209"/>
      <c r="M86" s="208"/>
      <c r="N86" s="208"/>
      <c r="O86" s="238" t="s">
        <v>997</v>
      </c>
      <c r="P86" s="182"/>
      <c r="Q86" s="196">
        <v>30</v>
      </c>
      <c r="R86" s="189" t="str">
        <f t="shared" si="9"/>
        <v>II-0005.0030</v>
      </c>
      <c r="S86" s="182" t="str">
        <f>CONCATENATE(K86)</f>
        <v>COLOCACION</v>
      </c>
    </row>
    <row r="87" spans="1:19" x14ac:dyDescent="0.2">
      <c r="A87" s="188">
        <v>31</v>
      </c>
      <c r="B87" s="181" t="s">
        <v>1188</v>
      </c>
      <c r="C87" s="206" t="s">
        <v>1126</v>
      </c>
      <c r="D87" s="187" t="s">
        <v>997</v>
      </c>
      <c r="G87" s="182"/>
      <c r="H87" s="198"/>
      <c r="I87" s="207" t="s">
        <v>1085</v>
      </c>
      <c r="J87" s="212"/>
      <c r="K87" s="197" t="s">
        <v>1126</v>
      </c>
      <c r="L87" s="209"/>
      <c r="M87" s="208"/>
      <c r="N87" s="208"/>
      <c r="O87" s="238" t="s">
        <v>997</v>
      </c>
      <c r="P87" s="182"/>
      <c r="Q87" s="196">
        <v>31</v>
      </c>
      <c r="R87" s="189" t="str">
        <f t="shared" si="9"/>
        <v>II-0005.0031</v>
      </c>
      <c r="S87" s="182" t="str">
        <f t="shared" ref="S87:S90" si="11">CONCATENATE(K87)</f>
        <v>PINTURA</v>
      </c>
    </row>
    <row r="88" spans="1:19" x14ac:dyDescent="0.2">
      <c r="A88" s="188">
        <v>32</v>
      </c>
      <c r="B88" s="189" t="s">
        <v>1189</v>
      </c>
      <c r="C88" s="84" t="s">
        <v>1190</v>
      </c>
      <c r="D88" s="262" t="s">
        <v>1133</v>
      </c>
      <c r="G88" s="182"/>
      <c r="H88" s="198"/>
      <c r="I88" s="207" t="s">
        <v>1127</v>
      </c>
      <c r="J88" s="212"/>
      <c r="K88" s="257" t="s">
        <v>1190</v>
      </c>
      <c r="L88" s="209"/>
      <c r="M88" s="208"/>
      <c r="N88" s="208"/>
      <c r="O88" s="263" t="s">
        <v>1133</v>
      </c>
      <c r="P88" s="182"/>
      <c r="Q88" s="196">
        <v>32</v>
      </c>
      <c r="R88" s="189" t="str">
        <f t="shared" si="9"/>
        <v>II-0005.0032</v>
      </c>
      <c r="S88" s="182" t="str">
        <f t="shared" si="11"/>
        <v>RELLENO SOCAVACION</v>
      </c>
    </row>
    <row r="89" spans="1:19" x14ac:dyDescent="0.2">
      <c r="A89" s="188">
        <v>33</v>
      </c>
      <c r="B89" s="189" t="s">
        <v>1191</v>
      </c>
      <c r="C89" s="84" t="s">
        <v>1136</v>
      </c>
      <c r="D89" s="187" t="s">
        <v>997</v>
      </c>
      <c r="G89" s="182"/>
      <c r="H89" s="198"/>
      <c r="I89" s="199" t="s">
        <v>1130</v>
      </c>
      <c r="J89" s="240"/>
      <c r="K89" s="257" t="s">
        <v>1136</v>
      </c>
      <c r="L89" s="240"/>
      <c r="M89" s="240"/>
      <c r="N89" s="240"/>
      <c r="O89" s="241" t="s">
        <v>997</v>
      </c>
      <c r="P89" s="182"/>
      <c r="Q89" s="196">
        <v>33</v>
      </c>
      <c r="R89" s="189" t="str">
        <f t="shared" si="9"/>
        <v>II-0005.0033</v>
      </c>
      <c r="S89" s="182" t="str">
        <f t="shared" si="11"/>
        <v>REPARACION</v>
      </c>
    </row>
    <row r="90" spans="1:19" ht="15.75" thickBot="1" x14ac:dyDescent="0.25">
      <c r="A90" s="188">
        <v>34</v>
      </c>
      <c r="B90" s="189" t="s">
        <v>1192</v>
      </c>
      <c r="C90" s="84" t="s">
        <v>1141</v>
      </c>
      <c r="D90" s="187" t="s">
        <v>997</v>
      </c>
      <c r="G90" s="182"/>
      <c r="H90" s="213"/>
      <c r="I90" s="225" t="s">
        <v>1134</v>
      </c>
      <c r="J90" s="216"/>
      <c r="K90" s="217" t="s">
        <v>1141</v>
      </c>
      <c r="L90" s="216"/>
      <c r="M90" s="216"/>
      <c r="N90" s="216"/>
      <c r="O90" s="264" t="s">
        <v>997</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1193</v>
      </c>
      <c r="C92" s="84" t="s">
        <v>1194</v>
      </c>
      <c r="D92" s="187"/>
      <c r="G92" s="182"/>
      <c r="H92" s="265">
        <v>6</v>
      </c>
      <c r="I92" s="266"/>
      <c r="J92" s="267"/>
      <c r="K92" s="268" t="s">
        <v>1194</v>
      </c>
      <c r="L92" s="267"/>
      <c r="M92" s="267"/>
      <c r="N92" s="267"/>
      <c r="O92" s="269"/>
      <c r="P92" s="182"/>
      <c r="Q92" s="196">
        <f>H92</f>
        <v>6</v>
      </c>
      <c r="R92" s="187" t="str">
        <f>CONCATENATE("II-",TEXT(Q92,"0000"))</f>
        <v>II-0006</v>
      </c>
      <c r="S92" s="197" t="str">
        <f>K92</f>
        <v>APERTURA DE CAJA P/ ENSANCHE</v>
      </c>
    </row>
    <row r="93" spans="1:19" x14ac:dyDescent="0.2">
      <c r="A93" s="188">
        <v>1</v>
      </c>
      <c r="B93" s="189" t="s">
        <v>1195</v>
      </c>
      <c r="C93" s="84" t="s">
        <v>1091</v>
      </c>
      <c r="D93" s="187" t="s">
        <v>1133</v>
      </c>
      <c r="G93" s="182"/>
      <c r="H93" s="198"/>
      <c r="I93" s="199" t="s">
        <v>1022</v>
      </c>
      <c r="J93" s="240"/>
      <c r="K93" s="257" t="s">
        <v>1091</v>
      </c>
      <c r="L93" s="240"/>
      <c r="M93" s="240"/>
      <c r="N93" s="240"/>
      <c r="O93" s="256" t="s">
        <v>1133</v>
      </c>
      <c r="P93" s="182"/>
      <c r="Q93" s="196">
        <v>1</v>
      </c>
      <c r="R93" s="189" t="str">
        <f>CONCATENATE($R$92,".",TEXT(Q93,"0000"))</f>
        <v>II-0006.0001</v>
      </c>
      <c r="S93" s="182" t="str">
        <f>CONCATENATE(K93)</f>
        <v>RETIRO</v>
      </c>
    </row>
    <row r="94" spans="1:19" ht="15.75" thickBot="1" x14ac:dyDescent="0.25">
      <c r="A94" s="188">
        <v>2</v>
      </c>
      <c r="B94" s="189" t="s">
        <v>1196</v>
      </c>
      <c r="C94" s="84" t="s">
        <v>1197</v>
      </c>
      <c r="D94" s="187" t="s">
        <v>1133</v>
      </c>
      <c r="G94" s="182"/>
      <c r="H94" s="198"/>
      <c r="I94" s="225" t="s">
        <v>1049</v>
      </c>
      <c r="J94" s="182"/>
      <c r="K94" s="197" t="s">
        <v>1197</v>
      </c>
      <c r="L94" s="182"/>
      <c r="M94" s="182"/>
      <c r="N94" s="182"/>
      <c r="O94" s="234" t="s">
        <v>1133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1198</v>
      </c>
      <c r="C96" s="84" t="s">
        <v>1199</v>
      </c>
      <c r="D96" s="187"/>
      <c r="G96" s="182"/>
      <c r="H96" s="265">
        <v>7</v>
      </c>
      <c r="I96" s="221"/>
      <c r="J96" s="270"/>
      <c r="K96" s="271" t="s">
        <v>1199</v>
      </c>
      <c r="L96" s="270"/>
      <c r="M96" s="270"/>
      <c r="N96" s="270"/>
      <c r="O96" s="223"/>
      <c r="P96" s="182"/>
      <c r="Q96" s="196">
        <f>H96</f>
        <v>7</v>
      </c>
      <c r="R96" s="187" t="str">
        <f>CONCATENATE("II-",TEXT(Q96,"0000"))</f>
        <v>II-0007</v>
      </c>
      <c r="S96" s="197" t="str">
        <f>K96</f>
        <v>APOYO DE POLICLOROPENO SHARE 60</v>
      </c>
    </row>
    <row r="97" spans="1:19" x14ac:dyDescent="0.2">
      <c r="A97" s="188">
        <v>1</v>
      </c>
      <c r="B97" s="181" t="s">
        <v>1200</v>
      </c>
      <c r="C97" s="206" t="s">
        <v>1139</v>
      </c>
      <c r="D97" s="187" t="s">
        <v>1201</v>
      </c>
      <c r="G97" s="182"/>
      <c r="H97" s="198"/>
      <c r="I97" s="199" t="s">
        <v>1022</v>
      </c>
      <c r="J97" s="240"/>
      <c r="K97" s="257" t="s">
        <v>1139</v>
      </c>
      <c r="L97" s="240"/>
      <c r="M97" s="240"/>
      <c r="N97" s="240"/>
      <c r="O97" s="241" t="s">
        <v>1201</v>
      </c>
      <c r="P97" s="182"/>
      <c r="Q97" s="196">
        <v>1</v>
      </c>
      <c r="R97" s="189" t="str">
        <f>CONCATENATE($R$96,".",TEXT(Q97,"0000"))</f>
        <v>II-0007.0001</v>
      </c>
      <c r="S97" s="182" t="str">
        <f>CONCATENATE(K97)</f>
        <v>RETIRO Y RECOLOCACION</v>
      </c>
    </row>
    <row r="98" spans="1:19" ht="15.75" thickBot="1" x14ac:dyDescent="0.25">
      <c r="A98" s="188">
        <v>2</v>
      </c>
      <c r="B98" s="189" t="s">
        <v>1202</v>
      </c>
      <c r="C98" s="84" t="s">
        <v>1136</v>
      </c>
      <c r="D98" s="187" t="s">
        <v>1201</v>
      </c>
      <c r="G98" s="182"/>
      <c r="H98" s="198"/>
      <c r="I98" s="215" t="s">
        <v>1049</v>
      </c>
      <c r="J98" s="182"/>
      <c r="K98" s="197" t="s">
        <v>1136</v>
      </c>
      <c r="L98" s="182"/>
      <c r="M98" s="182"/>
      <c r="N98" s="182"/>
      <c r="O98" s="264" t="s">
        <v>1201</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1203</v>
      </c>
      <c r="C100" s="84" t="s">
        <v>1204</v>
      </c>
      <c r="D100" s="187" t="s">
        <v>1133</v>
      </c>
      <c r="G100" s="182"/>
      <c r="H100" s="272">
        <v>8</v>
      </c>
      <c r="I100" s="273"/>
      <c r="J100" s="274"/>
      <c r="K100" s="275" t="s">
        <v>1204</v>
      </c>
      <c r="L100" s="274"/>
      <c r="M100" s="274"/>
      <c r="N100" s="274"/>
      <c r="O100" s="276" t="s">
        <v>1133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1205</v>
      </c>
      <c r="C104" s="84" t="s">
        <v>1206</v>
      </c>
      <c r="D104" s="187"/>
      <c r="G104" s="182"/>
      <c r="H104" s="220">
        <v>9</v>
      </c>
      <c r="I104" s="222"/>
      <c r="J104" s="232"/>
      <c r="K104" s="277" t="s">
        <v>1206</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1022</v>
      </c>
      <c r="J105" s="182"/>
      <c r="K105" s="197" t="s">
        <v>1207</v>
      </c>
      <c r="L105" s="182"/>
      <c r="M105" s="182"/>
      <c r="N105" s="182"/>
      <c r="O105" s="234"/>
      <c r="P105" s="182"/>
      <c r="Q105" s="182"/>
      <c r="R105" s="182"/>
      <c r="S105" s="182"/>
    </row>
    <row r="106" spans="1:19" x14ac:dyDescent="0.2">
      <c r="A106" s="188">
        <v>1</v>
      </c>
      <c r="B106" s="189" t="s">
        <v>1208</v>
      </c>
      <c r="C106" s="84" t="s">
        <v>1209</v>
      </c>
      <c r="D106" s="187" t="s">
        <v>1133</v>
      </c>
      <c r="G106" s="182"/>
      <c r="H106" s="198"/>
      <c r="I106" s="187"/>
      <c r="J106" s="204">
        <v>1</v>
      </c>
      <c r="K106" s="197"/>
      <c r="L106" s="197" t="s">
        <v>1210</v>
      </c>
      <c r="M106" s="182"/>
      <c r="N106" s="182"/>
      <c r="O106" s="234" t="s">
        <v>1133</v>
      </c>
      <c r="P106" s="182"/>
      <c r="Q106" s="196">
        <v>1</v>
      </c>
      <c r="R106" s="189" t="str">
        <f>CONCATENATE($R$104,".",TEXT(Q106,"0000"))</f>
        <v>II-0009.0001</v>
      </c>
      <c r="S106" s="182" t="str">
        <f>CONCATENATE($K$105," CON ",L106)</f>
        <v>PROFUNDO CON MATERIAL PETREO Y SUELO</v>
      </c>
    </row>
    <row r="107" spans="1:19" x14ac:dyDescent="0.2">
      <c r="A107" s="188">
        <v>2</v>
      </c>
      <c r="B107" s="189" t="s">
        <v>1211</v>
      </c>
      <c r="C107" s="84" t="s">
        <v>1212</v>
      </c>
      <c r="D107" s="187" t="s">
        <v>1133</v>
      </c>
      <c r="G107" s="182"/>
      <c r="H107" s="198"/>
      <c r="I107" s="187"/>
      <c r="J107" s="204">
        <v>2</v>
      </c>
      <c r="K107" s="197"/>
      <c r="L107" s="197" t="s">
        <v>1213</v>
      </c>
      <c r="M107" s="182"/>
      <c r="N107" s="182"/>
      <c r="O107" s="234" t="s">
        <v>1133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1214</v>
      </c>
      <c r="C108" s="84" t="s">
        <v>1215</v>
      </c>
      <c r="D108" s="187" t="s">
        <v>1216</v>
      </c>
      <c r="G108" s="182"/>
      <c r="H108" s="198"/>
      <c r="I108" s="187"/>
      <c r="J108" s="204">
        <v>3</v>
      </c>
      <c r="K108" s="197"/>
      <c r="L108" s="197" t="s">
        <v>1217</v>
      </c>
      <c r="M108" s="182"/>
      <c r="N108" s="182"/>
      <c r="O108" s="234" t="s">
        <v>1216</v>
      </c>
      <c r="P108" s="182"/>
      <c r="Q108" s="196">
        <v>3</v>
      </c>
      <c r="R108" s="189" t="str">
        <f t="shared" si="12"/>
        <v>II-0009.0003</v>
      </c>
      <c r="S108" s="182" t="str">
        <f t="shared" si="13"/>
        <v>PROFUNDO CON SUELO CAL</v>
      </c>
    </row>
    <row r="109" spans="1:19" x14ac:dyDescent="0.2">
      <c r="A109" s="188">
        <v>4</v>
      </c>
      <c r="B109" s="189" t="s">
        <v>1218</v>
      </c>
      <c r="C109" s="84" t="s">
        <v>1219</v>
      </c>
      <c r="D109" s="187" t="s">
        <v>1216</v>
      </c>
      <c r="G109" s="182"/>
      <c r="H109" s="198"/>
      <c r="I109" s="187"/>
      <c r="J109" s="204">
        <v>4</v>
      </c>
      <c r="K109" s="197"/>
      <c r="L109" s="197" t="s">
        <v>1220</v>
      </c>
      <c r="M109" s="182"/>
      <c r="N109" s="182"/>
      <c r="O109" s="234" t="s">
        <v>1216</v>
      </c>
      <c r="P109" s="182"/>
      <c r="Q109" s="196">
        <v>4</v>
      </c>
      <c r="R109" s="189" t="str">
        <f t="shared" si="12"/>
        <v>II-0009.0004</v>
      </c>
      <c r="S109" s="182" t="str">
        <f t="shared" si="13"/>
        <v>PROFUNDO CON SUELO CEMENTO</v>
      </c>
    </row>
    <row r="110" spans="1:19" x14ac:dyDescent="0.2">
      <c r="A110" s="188">
        <v>5</v>
      </c>
      <c r="B110" s="189" t="s">
        <v>1221</v>
      </c>
      <c r="C110" s="84" t="s">
        <v>1222</v>
      </c>
      <c r="D110" s="187" t="s">
        <v>1216</v>
      </c>
      <c r="G110" s="182"/>
      <c r="H110" s="198"/>
      <c r="I110" s="187"/>
      <c r="J110" s="204">
        <v>5</v>
      </c>
      <c r="K110" s="197"/>
      <c r="L110" s="197" t="s">
        <v>1223</v>
      </c>
      <c r="M110" s="182"/>
      <c r="N110" s="182"/>
      <c r="O110" s="234" t="s">
        <v>1216</v>
      </c>
      <c r="P110" s="182"/>
      <c r="Q110" s="196">
        <v>5</v>
      </c>
      <c r="R110" s="189" t="str">
        <f t="shared" si="12"/>
        <v>II-0009.0005</v>
      </c>
      <c r="S110" s="182" t="str">
        <f t="shared" si="13"/>
        <v>PROFUNDO CON SUELO SELECCIONADO</v>
      </c>
    </row>
    <row r="111" spans="1:19" x14ac:dyDescent="0.2">
      <c r="A111" s="188">
        <v>6</v>
      </c>
      <c r="B111" s="189" t="s">
        <v>1224</v>
      </c>
      <c r="C111" s="84" t="s">
        <v>1225</v>
      </c>
      <c r="D111" s="187" t="s">
        <v>1216</v>
      </c>
      <c r="G111" s="182"/>
      <c r="H111" s="198"/>
      <c r="I111" s="212"/>
      <c r="J111" s="207">
        <v>6</v>
      </c>
      <c r="K111" s="209"/>
      <c r="L111" s="209" t="s">
        <v>1226</v>
      </c>
      <c r="M111" s="208"/>
      <c r="N111" s="208"/>
      <c r="O111" s="252" t="s">
        <v>1216</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1049</v>
      </c>
      <c r="J112" s="182"/>
      <c r="K112" s="197" t="s">
        <v>1227</v>
      </c>
      <c r="L112" s="182"/>
      <c r="M112" s="182"/>
      <c r="N112" s="182"/>
      <c r="O112" s="234"/>
      <c r="P112" s="182"/>
      <c r="Q112" s="182"/>
      <c r="R112" s="182"/>
      <c r="S112" s="182"/>
    </row>
    <row r="113" spans="1:19" ht="15.75" thickBot="1" x14ac:dyDescent="0.25">
      <c r="A113" s="188">
        <v>10</v>
      </c>
      <c r="B113" s="181" t="s">
        <v>1228</v>
      </c>
      <c r="C113" s="84" t="s">
        <v>1229</v>
      </c>
      <c r="D113" s="187" t="s">
        <v>1133</v>
      </c>
      <c r="G113" s="182"/>
      <c r="H113" s="213"/>
      <c r="I113" s="214"/>
      <c r="J113" s="215">
        <v>2</v>
      </c>
      <c r="K113" s="217"/>
      <c r="L113" s="217" t="s">
        <v>1213</v>
      </c>
      <c r="M113" s="216"/>
      <c r="N113" s="216"/>
      <c r="O113" s="278" t="s">
        <v>1133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1230</v>
      </c>
      <c r="C115" s="84" t="s">
        <v>1231</v>
      </c>
      <c r="D115" s="187"/>
      <c r="G115" s="182"/>
      <c r="H115" s="220">
        <v>10</v>
      </c>
      <c r="I115" s="222"/>
      <c r="J115" s="232"/>
      <c r="K115" s="277" t="s">
        <v>1231</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1022</v>
      </c>
      <c r="J116" s="182"/>
      <c r="K116" s="197" t="s">
        <v>1232</v>
      </c>
      <c r="L116" s="182"/>
      <c r="M116" s="182"/>
      <c r="N116" s="182"/>
      <c r="O116" s="234"/>
      <c r="P116" s="182"/>
      <c r="Q116" s="182"/>
      <c r="R116" s="182"/>
      <c r="S116" s="182"/>
    </row>
    <row r="117" spans="1:19" x14ac:dyDescent="0.2">
      <c r="A117" s="188">
        <v>1</v>
      </c>
      <c r="B117" s="189" t="s">
        <v>1233</v>
      </c>
      <c r="C117" s="84" t="s">
        <v>1234</v>
      </c>
      <c r="D117" s="187" t="s">
        <v>1133</v>
      </c>
      <c r="G117" s="182"/>
      <c r="H117" s="198"/>
      <c r="I117" s="187"/>
      <c r="J117" s="204">
        <v>1</v>
      </c>
      <c r="K117" s="182"/>
      <c r="L117" s="197" t="s">
        <v>1235</v>
      </c>
      <c r="M117" s="182"/>
      <c r="N117" s="182"/>
      <c r="O117" s="234" t="s">
        <v>1133</v>
      </c>
      <c r="P117" s="182"/>
      <c r="Q117" s="196">
        <v>1</v>
      </c>
      <c r="R117" s="189" t="str">
        <f>CONCATENATE($R$115,".",TEXT(Q117,"0000"))</f>
        <v>II-0010.0001</v>
      </c>
      <c r="S117" s="182" t="str">
        <f>CONCATENATE($K$116," - TIPO ",L117)</f>
        <v>Hº  SIMPLE - TIPO A-2862</v>
      </c>
    </row>
    <row r="118" spans="1:19" x14ac:dyDescent="0.2">
      <c r="A118" s="188">
        <v>2</v>
      </c>
      <c r="B118" s="189" t="s">
        <v>1236</v>
      </c>
      <c r="C118" s="84" t="s">
        <v>1237</v>
      </c>
      <c r="D118" s="187" t="s">
        <v>1133</v>
      </c>
      <c r="G118" s="182"/>
      <c r="H118" s="198"/>
      <c r="I118" s="187"/>
      <c r="J118" s="207">
        <v>2</v>
      </c>
      <c r="K118" s="208"/>
      <c r="L118" s="209" t="s">
        <v>1238</v>
      </c>
      <c r="M118" s="208"/>
      <c r="N118" s="208"/>
      <c r="O118" s="252" t="s">
        <v>1133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1049</v>
      </c>
      <c r="J119" s="182"/>
      <c r="K119" s="197" t="s">
        <v>1239</v>
      </c>
      <c r="L119" s="182"/>
      <c r="M119" s="182"/>
      <c r="N119" s="182"/>
      <c r="O119" s="234"/>
      <c r="P119" s="182"/>
      <c r="Q119" s="182"/>
      <c r="R119" s="182"/>
      <c r="S119" s="182"/>
    </row>
    <row r="120" spans="1:19" x14ac:dyDescent="0.2">
      <c r="A120" s="188">
        <v>10</v>
      </c>
      <c r="B120" s="189" t="s">
        <v>1240</v>
      </c>
      <c r="C120" s="84" t="s">
        <v>1241</v>
      </c>
      <c r="D120" s="187" t="s">
        <v>1133</v>
      </c>
      <c r="G120" s="182"/>
      <c r="H120" s="198"/>
      <c r="I120" s="212"/>
      <c r="J120" s="207">
        <v>1</v>
      </c>
      <c r="K120" s="208"/>
      <c r="L120" s="209" t="s">
        <v>1242</v>
      </c>
      <c r="M120" s="208"/>
      <c r="N120" s="208"/>
      <c r="O120" s="252" t="s">
        <v>1133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1133</v>
      </c>
      <c r="G121" s="182"/>
      <c r="H121" s="213"/>
      <c r="I121" s="215" t="s">
        <v>1059</v>
      </c>
      <c r="J121" s="216"/>
      <c r="K121" s="217" t="s">
        <v>1050</v>
      </c>
      <c r="L121" s="216"/>
      <c r="M121" s="216"/>
      <c r="N121" s="216"/>
      <c r="O121" s="278" t="s">
        <v>1133</v>
      </c>
      <c r="P121" s="182"/>
      <c r="Q121" s="182"/>
      <c r="R121" s="182"/>
      <c r="S121" s="182"/>
    </row>
    <row r="122" spans="1:19" ht="15.75" thickTop="1" x14ac:dyDescent="0.2">
      <c r="A122" s="188">
        <v>11</v>
      </c>
      <c r="B122" s="189" t="s">
        <v>1243</v>
      </c>
      <c r="C122" s="84" t="s">
        <v>1244</v>
      </c>
      <c r="D122" s="187"/>
      <c r="G122" s="182"/>
      <c r="H122" s="220">
        <v>11</v>
      </c>
      <c r="I122" s="222"/>
      <c r="J122" s="232"/>
      <c r="K122" s="277" t="s">
        <v>1244</v>
      </c>
      <c r="L122" s="232"/>
      <c r="M122" s="232"/>
      <c r="N122" s="232"/>
      <c r="O122" s="242"/>
      <c r="P122" s="182"/>
      <c r="Q122" s="196">
        <f>H122</f>
        <v>11</v>
      </c>
      <c r="R122" s="187" t="str">
        <f>CONCATENATE("II-",TEXT(Q122,"0000"))</f>
        <v>II-0011</v>
      </c>
      <c r="S122" s="197" t="str">
        <f>K122</f>
        <v>BAJADA DE AGUA</v>
      </c>
    </row>
    <row r="123" spans="1:19" x14ac:dyDescent="0.2">
      <c r="A123" s="188">
        <v>1</v>
      </c>
      <c r="B123" s="189" t="s">
        <v>1245</v>
      </c>
      <c r="C123" s="84" t="s">
        <v>1246</v>
      </c>
      <c r="D123" s="187" t="s">
        <v>997</v>
      </c>
      <c r="G123" s="182"/>
      <c r="H123" s="233"/>
      <c r="I123" s="199" t="s">
        <v>1022</v>
      </c>
      <c r="J123" s="240"/>
      <c r="K123" s="257" t="s">
        <v>1246</v>
      </c>
      <c r="L123" s="240"/>
      <c r="M123" s="240"/>
      <c r="N123" s="240"/>
      <c r="O123" s="256" t="s">
        <v>997</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1049</v>
      </c>
      <c r="J124" s="182"/>
      <c r="K124" s="197" t="s">
        <v>1247</v>
      </c>
      <c r="L124" s="182"/>
      <c r="M124" s="182"/>
      <c r="N124" s="182"/>
      <c r="O124" s="234"/>
      <c r="P124" s="182"/>
      <c r="Q124" s="182"/>
      <c r="R124" s="182"/>
      <c r="S124" s="182"/>
    </row>
    <row r="125" spans="1:19" x14ac:dyDescent="0.2">
      <c r="A125" s="188">
        <v>10</v>
      </c>
      <c r="B125" s="189" t="s">
        <v>1248</v>
      </c>
      <c r="C125" s="84" t="s">
        <v>1249</v>
      </c>
      <c r="D125" s="187" t="s">
        <v>1250</v>
      </c>
      <c r="G125" s="182"/>
      <c r="H125" s="198"/>
      <c r="I125" s="187"/>
      <c r="J125" s="204">
        <v>1</v>
      </c>
      <c r="K125" s="182"/>
      <c r="L125" s="197" t="s">
        <v>1251</v>
      </c>
      <c r="M125" s="182"/>
      <c r="N125" s="182"/>
      <c r="O125" s="234" t="s">
        <v>1250</v>
      </c>
      <c r="P125" s="182"/>
      <c r="Q125" s="196">
        <v>10</v>
      </c>
      <c r="R125" s="189" t="str">
        <f>CONCATENATE($R$122,".",TEXT(Q125,"0000"))</f>
        <v>II-0011.0010</v>
      </c>
      <c r="S125" s="182" t="str">
        <f>CONCATENATE($K$124," - TIPO ",L125)</f>
        <v>HORMIGON - TIPO H-8558</v>
      </c>
    </row>
    <row r="126" spans="1:19" x14ac:dyDescent="0.2">
      <c r="A126" s="188">
        <v>11</v>
      </c>
      <c r="B126" s="189" t="s">
        <v>1252</v>
      </c>
      <c r="C126" s="84" t="s">
        <v>1253</v>
      </c>
      <c r="D126" s="187" t="s">
        <v>1250</v>
      </c>
      <c r="G126" s="182"/>
      <c r="H126" s="198"/>
      <c r="I126" s="187"/>
      <c r="J126" s="204">
        <v>2</v>
      </c>
      <c r="K126" s="182"/>
      <c r="L126" s="197" t="s">
        <v>1254</v>
      </c>
      <c r="M126" s="182"/>
      <c r="N126" s="182"/>
      <c r="O126" s="234" t="s">
        <v>1250</v>
      </c>
      <c r="P126" s="182"/>
      <c r="Q126" s="196">
        <v>11</v>
      </c>
      <c r="R126" s="189" t="str">
        <f>CONCATENATE($R$122,".",TEXT(Q126,"0000"))</f>
        <v>II-0011.0011</v>
      </c>
      <c r="S126" s="182" t="str">
        <f t="shared" ref="S126:S127" si="14">CONCATENATE($K$124," - TIPO ",L126)</f>
        <v>HORMIGON - TIPO H-2350</v>
      </c>
    </row>
    <row r="127" spans="1:19" x14ac:dyDescent="0.2">
      <c r="A127" s="188">
        <v>12</v>
      </c>
      <c r="B127" s="189" t="s">
        <v>1255</v>
      </c>
      <c r="C127" s="84" t="s">
        <v>1256</v>
      </c>
      <c r="D127" s="187" t="s">
        <v>1250</v>
      </c>
      <c r="G127" s="182"/>
      <c r="H127" s="198"/>
      <c r="I127" s="187"/>
      <c r="J127" s="207">
        <v>3</v>
      </c>
      <c r="K127" s="182"/>
      <c r="L127" s="197" t="s">
        <v>1257</v>
      </c>
      <c r="M127" s="182"/>
      <c r="N127" s="182"/>
      <c r="O127" s="234" t="s">
        <v>1250</v>
      </c>
      <c r="P127" s="182"/>
      <c r="Q127" s="196">
        <v>12</v>
      </c>
      <c r="R127" s="189" t="str">
        <f>CONCATENATE($R$122,".",TEXT(Q127,"0000"))</f>
        <v>II-0011.0012</v>
      </c>
      <c r="S127" s="182" t="str">
        <f t="shared" si="14"/>
        <v>HORMIGON - TIPO H-7691</v>
      </c>
    </row>
    <row r="128" spans="1:19" x14ac:dyDescent="0.2">
      <c r="A128" s="188">
        <v>12</v>
      </c>
      <c r="B128" s="181" t="s">
        <v>1255</v>
      </c>
      <c r="C128" s="84" t="s">
        <v>1091</v>
      </c>
      <c r="D128" s="187" t="s">
        <v>1258</v>
      </c>
      <c r="G128" s="182"/>
      <c r="H128" s="198"/>
      <c r="I128" s="199" t="s">
        <v>1059</v>
      </c>
      <c r="J128" s="240"/>
      <c r="K128" s="257" t="s">
        <v>1091</v>
      </c>
      <c r="L128" s="240"/>
      <c r="M128" s="240"/>
      <c r="N128" s="240"/>
      <c r="O128" s="256" t="s">
        <v>1258</v>
      </c>
      <c r="P128" s="182"/>
      <c r="Q128" s="196">
        <v>12</v>
      </c>
      <c r="R128" s="189" t="str">
        <f>CONCATENATE($R$122,".",TEXT(Q128,"0000"))</f>
        <v>II-0011.0012</v>
      </c>
      <c r="S128" s="182" t="str">
        <f>CONCATENATE($K$128)</f>
        <v>RETIRO</v>
      </c>
    </row>
    <row r="129" spans="1:19" ht="15.75" thickBot="1" x14ac:dyDescent="0.25">
      <c r="A129" s="188">
        <v>12</v>
      </c>
      <c r="B129" s="181" t="s">
        <v>1255</v>
      </c>
      <c r="C129" s="84" t="s">
        <v>1259</v>
      </c>
      <c r="D129" s="187" t="s">
        <v>1258</v>
      </c>
      <c r="G129" s="182"/>
      <c r="H129" s="213"/>
      <c r="I129" s="225" t="s">
        <v>1085</v>
      </c>
      <c r="J129" s="228"/>
      <c r="K129" s="259" t="s">
        <v>1259</v>
      </c>
      <c r="L129" s="228"/>
      <c r="M129" s="228"/>
      <c r="N129" s="228"/>
      <c r="O129" s="260" t="s">
        <v>1258</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1260</v>
      </c>
      <c r="C131" s="84" t="s">
        <v>1261</v>
      </c>
      <c r="D131" s="187"/>
      <c r="G131" s="182"/>
      <c r="H131" s="220">
        <v>12</v>
      </c>
      <c r="I131" s="222"/>
      <c r="J131" s="232"/>
      <c r="K131" s="277" t="s">
        <v>1261</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1133</v>
      </c>
      <c r="G132" s="182"/>
      <c r="H132" s="198"/>
      <c r="I132" s="199" t="s">
        <v>1022</v>
      </c>
      <c r="J132" s="240"/>
      <c r="K132" s="257" t="s">
        <v>1262</v>
      </c>
      <c r="L132" s="240"/>
      <c r="M132" s="240"/>
      <c r="N132" s="240"/>
      <c r="O132" s="256" t="s">
        <v>1133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1133</v>
      </c>
      <c r="G133" s="182"/>
      <c r="H133" s="198"/>
      <c r="I133" s="199" t="s">
        <v>1049</v>
      </c>
      <c r="J133" s="240"/>
      <c r="K133" s="257" t="s">
        <v>1263</v>
      </c>
      <c r="L133" s="240"/>
      <c r="M133" s="240"/>
      <c r="N133" s="240"/>
      <c r="O133" s="256" t="s">
        <v>1133</v>
      </c>
      <c r="P133" s="182"/>
      <c r="Q133" s="196">
        <v>2</v>
      </c>
      <c r="R133" s="189" t="str">
        <f>CONCATENATE($L$131,".",TEXT(Q133,"0000"))</f>
        <v>.0002</v>
      </c>
      <c r="S133" s="182" t="str">
        <f>CONCATENATE($E$133)</f>
        <v/>
      </c>
    </row>
    <row r="134" spans="1:19" x14ac:dyDescent="0.2">
      <c r="A134" s="188"/>
      <c r="B134" s="84"/>
      <c r="C134" s="84"/>
      <c r="D134" s="187"/>
      <c r="G134" s="182"/>
      <c r="H134" s="198"/>
      <c r="I134" s="199" t="s">
        <v>1059</v>
      </c>
      <c r="J134" s="182"/>
      <c r="K134" s="197" t="s">
        <v>1264</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1216</v>
      </c>
      <c r="G135" s="182"/>
      <c r="H135" s="198"/>
      <c r="I135" s="187"/>
      <c r="J135" s="204">
        <v>1</v>
      </c>
      <c r="K135" s="182"/>
      <c r="L135" s="197" t="s">
        <v>1265</v>
      </c>
      <c r="M135" s="182"/>
      <c r="N135" s="182"/>
      <c r="O135" s="234" t="s">
        <v>1216</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1216</v>
      </c>
      <c r="G136" s="182"/>
      <c r="H136" s="213"/>
      <c r="I136" s="214"/>
      <c r="J136" s="215">
        <v>2</v>
      </c>
      <c r="K136" s="216"/>
      <c r="L136" s="217" t="s">
        <v>1266</v>
      </c>
      <c r="M136" s="216"/>
      <c r="N136" s="216"/>
      <c r="O136" s="278" t="s">
        <v>1216</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1267</v>
      </c>
      <c r="C138" s="84" t="s">
        <v>1268</v>
      </c>
      <c r="D138" s="187"/>
      <c r="G138" s="182"/>
      <c r="H138" s="220">
        <v>13</v>
      </c>
      <c r="I138" s="222"/>
      <c r="J138" s="232"/>
      <c r="K138" s="277" t="s">
        <v>1268</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1022</v>
      </c>
      <c r="J139" s="182"/>
      <c r="K139" s="197" t="s">
        <v>1269</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997</v>
      </c>
      <c r="G140" s="182"/>
      <c r="H140" s="198"/>
      <c r="I140" s="187"/>
      <c r="J140" s="204">
        <v>1</v>
      </c>
      <c r="K140" s="182"/>
      <c r="L140" s="197" t="s">
        <v>1270</v>
      </c>
      <c r="M140" s="182"/>
      <c r="N140" s="182"/>
      <c r="O140" s="234" t="s">
        <v>997</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997</v>
      </c>
      <c r="G141" s="182"/>
      <c r="H141" s="198"/>
      <c r="I141" s="187"/>
      <c r="J141" s="207">
        <v>2</v>
      </c>
      <c r="K141" s="208"/>
      <c r="L141" s="209" t="s">
        <v>1271</v>
      </c>
      <c r="M141" s="208"/>
      <c r="N141" s="208"/>
      <c r="O141" s="252" t="s">
        <v>997</v>
      </c>
      <c r="P141" s="182"/>
      <c r="Q141" s="196">
        <v>2</v>
      </c>
      <c r="R141" s="189" t="str">
        <f>CONCATENATE($L$138,".",TEXT(Q141,"0000"))</f>
        <v>.0002</v>
      </c>
      <c r="S141" s="182" t="str">
        <f>CONCATENATE($E$139," TIPO ",L141)</f>
        <v xml:space="preserve"> TIPO PESADA ( B )</v>
      </c>
    </row>
    <row r="142" spans="1:19" x14ac:dyDescent="0.2">
      <c r="A142" s="188"/>
      <c r="B142" s="189"/>
      <c r="C142" s="84"/>
      <c r="D142" s="187" t="s">
        <v>997</v>
      </c>
      <c r="G142" s="182"/>
      <c r="H142" s="198"/>
      <c r="I142" s="199" t="s">
        <v>1049</v>
      </c>
      <c r="J142" s="182"/>
      <c r="K142" s="197" t="s">
        <v>1272</v>
      </c>
      <c r="L142" s="182"/>
      <c r="M142" s="182"/>
      <c r="N142" s="182"/>
      <c r="O142" s="234"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997</v>
      </c>
      <c r="G143" s="182"/>
      <c r="H143" s="198"/>
      <c r="I143" s="187"/>
      <c r="J143" s="204">
        <v>1</v>
      </c>
      <c r="K143" s="182"/>
      <c r="L143" s="197" t="s">
        <v>1270</v>
      </c>
      <c r="M143" s="182"/>
      <c r="N143" s="182"/>
      <c r="O143" s="234" t="s">
        <v>997</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997</v>
      </c>
      <c r="G144" s="182"/>
      <c r="H144" s="198"/>
      <c r="I144" s="187"/>
      <c r="J144" s="207">
        <v>2</v>
      </c>
      <c r="K144" s="182"/>
      <c r="L144" s="197" t="s">
        <v>1271</v>
      </c>
      <c r="M144" s="182"/>
      <c r="N144" s="182"/>
      <c r="O144" s="234" t="s">
        <v>997</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997</v>
      </c>
      <c r="G145" s="182"/>
      <c r="H145" s="198"/>
      <c r="I145" s="199" t="s">
        <v>1059</v>
      </c>
      <c r="J145" s="240"/>
      <c r="K145" s="257" t="s">
        <v>1141</v>
      </c>
      <c r="L145" s="240"/>
      <c r="M145" s="240"/>
      <c r="N145" s="240"/>
      <c r="O145" s="256" t="s">
        <v>997</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997</v>
      </c>
      <c r="G146" s="182"/>
      <c r="H146" s="244"/>
      <c r="I146" s="279" t="s">
        <v>1085</v>
      </c>
      <c r="J146" s="247"/>
      <c r="K146" s="248" t="s">
        <v>1273</v>
      </c>
      <c r="L146" s="247"/>
      <c r="M146" s="247"/>
      <c r="N146" s="247"/>
      <c r="O146" s="280" t="s">
        <v>997</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1274</v>
      </c>
      <c r="C148" s="84" t="s">
        <v>1275</v>
      </c>
      <c r="D148" s="187"/>
      <c r="G148" s="182"/>
      <c r="H148" s="220">
        <v>14</v>
      </c>
      <c r="I148" s="281"/>
      <c r="J148" s="282"/>
      <c r="K148" s="268" t="s">
        <v>1275</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1276</v>
      </c>
      <c r="D149" s="187" t="s">
        <v>1133</v>
      </c>
      <c r="G149" s="182"/>
      <c r="H149" s="198"/>
      <c r="I149" s="199" t="s">
        <v>1022</v>
      </c>
      <c r="J149" s="240"/>
      <c r="K149" s="257" t="s">
        <v>1276</v>
      </c>
      <c r="L149" s="240"/>
      <c r="M149" s="240"/>
      <c r="N149" s="240"/>
      <c r="O149" s="256" t="s">
        <v>1133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1277</v>
      </c>
      <c r="D150" s="187" t="s">
        <v>1133</v>
      </c>
      <c r="G150" s="182"/>
      <c r="H150" s="198"/>
      <c r="I150" s="199" t="s">
        <v>1049</v>
      </c>
      <c r="J150" s="240"/>
      <c r="K150" s="257" t="s">
        <v>1277</v>
      </c>
      <c r="L150" s="240"/>
      <c r="M150" s="240"/>
      <c r="N150" s="240"/>
      <c r="O150" s="256" t="s">
        <v>1133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1059</v>
      </c>
      <c r="J151" s="182"/>
      <c r="K151" s="197" t="s">
        <v>1278</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1133</v>
      </c>
      <c r="G152" s="182"/>
      <c r="H152" s="198"/>
      <c r="I152" s="187"/>
      <c r="J152" s="204">
        <v>1</v>
      </c>
      <c r="K152" s="182"/>
      <c r="L152" s="197" t="s">
        <v>1279</v>
      </c>
      <c r="M152" s="182"/>
      <c r="N152" s="182"/>
      <c r="O152" s="234" t="s">
        <v>1133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1133</v>
      </c>
      <c r="G153" s="182"/>
      <c r="H153" s="198"/>
      <c r="I153" s="187"/>
      <c r="J153" s="204">
        <v>2</v>
      </c>
      <c r="K153" s="197"/>
      <c r="L153" s="197" t="s">
        <v>1280</v>
      </c>
      <c r="M153" s="182"/>
      <c r="N153" s="182"/>
      <c r="O153" s="234" t="s">
        <v>1133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1133</v>
      </c>
      <c r="G154" s="182"/>
      <c r="H154" s="244"/>
      <c r="I154" s="284"/>
      <c r="J154" s="246">
        <v>3</v>
      </c>
      <c r="K154" s="248"/>
      <c r="L154" s="248" t="s">
        <v>1278</v>
      </c>
      <c r="M154" s="247"/>
      <c r="N154" s="247"/>
      <c r="O154" s="280" t="s">
        <v>1133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1275</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1133</v>
      </c>
      <c r="G157" s="182"/>
      <c r="H157" s="198"/>
      <c r="I157" s="199" t="s">
        <v>1085</v>
      </c>
      <c r="J157" s="240"/>
      <c r="K157" s="257" t="s">
        <v>1281</v>
      </c>
      <c r="L157" s="240"/>
      <c r="M157" s="240"/>
      <c r="N157" s="240"/>
      <c r="O157" s="256" t="s">
        <v>1133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1127</v>
      </c>
      <c r="J158" s="182"/>
      <c r="K158" s="197" t="s">
        <v>1136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1133</v>
      </c>
      <c r="G159" s="182"/>
      <c r="H159" s="198"/>
      <c r="I159" s="187"/>
      <c r="J159" s="204">
        <v>1</v>
      </c>
      <c r="K159" s="197"/>
      <c r="L159" s="197" t="s">
        <v>1281</v>
      </c>
      <c r="M159" s="182"/>
      <c r="N159" s="182"/>
      <c r="O159" s="234" t="s">
        <v>1133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1133</v>
      </c>
      <c r="G160" s="182"/>
      <c r="H160" s="198"/>
      <c r="I160" s="187"/>
      <c r="J160" s="204">
        <v>2</v>
      </c>
      <c r="K160" s="197"/>
      <c r="L160" s="197" t="s">
        <v>1217</v>
      </c>
      <c r="M160" s="182"/>
      <c r="N160" s="182"/>
      <c r="O160" s="234" t="s">
        <v>1133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1133</v>
      </c>
      <c r="G161" s="182"/>
      <c r="H161" s="198"/>
      <c r="I161" s="187"/>
      <c r="J161" s="204">
        <v>3</v>
      </c>
      <c r="K161" s="197"/>
      <c r="L161" s="197" t="s">
        <v>1220</v>
      </c>
      <c r="M161" s="182"/>
      <c r="N161" s="182"/>
      <c r="O161" s="234" t="s">
        <v>1133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1133</v>
      </c>
      <c r="G162" s="182"/>
      <c r="H162" s="198"/>
      <c r="I162" s="187"/>
      <c r="J162" s="204">
        <v>4</v>
      </c>
      <c r="K162" s="197"/>
      <c r="L162" s="197" t="s">
        <v>1282</v>
      </c>
      <c r="M162" s="182"/>
      <c r="N162" s="182"/>
      <c r="O162" s="234" t="s">
        <v>1133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1133</v>
      </c>
      <c r="G163" s="182"/>
      <c r="H163" s="198"/>
      <c r="I163" s="212"/>
      <c r="J163" s="207">
        <v>5</v>
      </c>
      <c r="K163" s="197"/>
      <c r="L163" s="197" t="s">
        <v>1223</v>
      </c>
      <c r="M163" s="182"/>
      <c r="N163" s="182"/>
      <c r="O163" s="234" t="s">
        <v>1133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1133</v>
      </c>
      <c r="G164" s="182"/>
      <c r="H164" s="198"/>
      <c r="I164" s="207" t="s">
        <v>1130</v>
      </c>
      <c r="J164" s="240"/>
      <c r="K164" s="257" t="s">
        <v>1217</v>
      </c>
      <c r="L164" s="240"/>
      <c r="M164" s="240"/>
      <c r="N164" s="240"/>
      <c r="O164" s="256" t="s">
        <v>1133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1133</v>
      </c>
      <c r="G165" s="182"/>
      <c r="H165" s="198"/>
      <c r="I165" s="204" t="s">
        <v>1134</v>
      </c>
      <c r="J165" s="182"/>
      <c r="K165" s="197" t="s">
        <v>1220</v>
      </c>
      <c r="L165" s="182"/>
      <c r="M165" s="182"/>
      <c r="N165" s="182"/>
      <c r="O165" s="234" t="s">
        <v>1133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1133</v>
      </c>
      <c r="G166" s="182"/>
      <c r="H166" s="198"/>
      <c r="I166" s="199" t="s">
        <v>1137</v>
      </c>
      <c r="J166" s="240"/>
      <c r="K166" s="257" t="s">
        <v>1282</v>
      </c>
      <c r="L166" s="240"/>
      <c r="M166" s="240"/>
      <c r="N166" s="240"/>
      <c r="O166" s="256" t="s">
        <v>1133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1133</v>
      </c>
      <c r="G167" s="182"/>
      <c r="H167" s="198"/>
      <c r="I167" s="204" t="s">
        <v>889</v>
      </c>
      <c r="J167" s="182"/>
      <c r="K167" s="197" t="s">
        <v>1223</v>
      </c>
      <c r="L167" s="182"/>
      <c r="M167" s="182"/>
      <c r="N167" s="182"/>
      <c r="O167" s="234" t="s">
        <v>1133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1283</v>
      </c>
      <c r="C169" s="84" t="s">
        <v>1284</v>
      </c>
      <c r="D169" s="187"/>
      <c r="G169" s="182"/>
      <c r="H169" s="265">
        <v>15</v>
      </c>
      <c r="I169" s="221"/>
      <c r="J169" s="270"/>
      <c r="K169" s="271" t="s">
        <v>1284</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1022</v>
      </c>
      <c r="J170" s="182"/>
      <c r="K170" s="197" t="s">
        <v>1285</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1216</v>
      </c>
      <c r="G171" s="182"/>
      <c r="H171" s="198"/>
      <c r="I171" s="187"/>
      <c r="J171" s="204">
        <v>1</v>
      </c>
      <c r="K171" s="182"/>
      <c r="L171" s="197" t="s">
        <v>1281</v>
      </c>
      <c r="M171" s="182"/>
      <c r="N171" s="182"/>
      <c r="O171" s="234" t="s">
        <v>1216</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1216</v>
      </c>
      <c r="G172" s="182"/>
      <c r="H172" s="198"/>
      <c r="I172" s="187"/>
      <c r="J172" s="204">
        <v>2</v>
      </c>
      <c r="K172" s="197"/>
      <c r="L172" s="197" t="s">
        <v>1286</v>
      </c>
      <c r="M172" s="182"/>
      <c r="N172" s="182"/>
      <c r="O172" s="234" t="s">
        <v>1216</v>
      </c>
      <c r="P172" s="182"/>
      <c r="Q172" s="196"/>
      <c r="R172" s="182"/>
      <c r="S172" s="182"/>
    </row>
    <row r="173" spans="1:19" x14ac:dyDescent="0.2">
      <c r="A173" s="188">
        <v>3</v>
      </c>
      <c r="B173" s="189" t="str">
        <f t="shared" si="31"/>
        <v>II-0015.0003</v>
      </c>
      <c r="C173" s="182" t="str">
        <f t="shared" si="32"/>
        <v>CORRECCION DE AHUELLAMIENTO MEZCLA ASFALTICA</v>
      </c>
      <c r="D173" s="187" t="s">
        <v>1216</v>
      </c>
      <c r="G173" s="182"/>
      <c r="H173" s="198"/>
      <c r="I173" s="187"/>
      <c r="J173" s="204">
        <v>3</v>
      </c>
      <c r="K173" s="197"/>
      <c r="L173" s="197" t="s">
        <v>1213</v>
      </c>
      <c r="M173" s="182"/>
      <c r="N173" s="182"/>
      <c r="O173" s="234" t="s">
        <v>1216</v>
      </c>
      <c r="P173" s="182"/>
      <c r="Q173" s="182"/>
      <c r="R173" s="182"/>
      <c r="S173" s="182"/>
    </row>
    <row r="174" spans="1:19" x14ac:dyDescent="0.2">
      <c r="A174" s="188">
        <v>4</v>
      </c>
      <c r="B174" s="189" t="str">
        <f t="shared" si="31"/>
        <v>II-0015.0004</v>
      </c>
      <c r="C174" s="182" t="str">
        <f t="shared" si="32"/>
        <v>CORRECCION DE AHUELLAMIENTO MICROAGLOMERADO</v>
      </c>
      <c r="D174" s="187" t="s">
        <v>1216</v>
      </c>
      <c r="G174" s="182"/>
      <c r="H174" s="198"/>
      <c r="I174" s="187"/>
      <c r="J174" s="204">
        <v>4</v>
      </c>
      <c r="K174" s="197"/>
      <c r="L174" s="197" t="s">
        <v>1287</v>
      </c>
      <c r="M174" s="182"/>
      <c r="N174" s="182"/>
      <c r="O174" s="234" t="s">
        <v>1216</v>
      </c>
      <c r="P174" s="182"/>
      <c r="Q174" s="182"/>
      <c r="R174" s="182"/>
      <c r="S174" s="182"/>
    </row>
    <row r="175" spans="1:19" x14ac:dyDescent="0.2">
      <c r="A175" s="188">
        <v>5</v>
      </c>
      <c r="B175" s="189" t="str">
        <f t="shared" si="31"/>
        <v>II-0015.0005</v>
      </c>
      <c r="C175" s="182" t="str">
        <f t="shared" si="32"/>
        <v>CORRECCION DE AHUELLAMIENTO SUELO CEMENTO</v>
      </c>
      <c r="D175" s="187" t="s">
        <v>1216</v>
      </c>
      <c r="G175" s="182"/>
      <c r="H175" s="198"/>
      <c r="I175" s="212"/>
      <c r="J175" s="207">
        <v>5</v>
      </c>
      <c r="K175" s="209"/>
      <c r="L175" s="209" t="s">
        <v>1220</v>
      </c>
      <c r="M175" s="208"/>
      <c r="N175" s="208"/>
      <c r="O175" s="252" t="s">
        <v>1216</v>
      </c>
      <c r="P175" s="182"/>
      <c r="Q175" s="182"/>
      <c r="R175" s="182"/>
      <c r="S175" s="182"/>
    </row>
    <row r="176" spans="1:19" x14ac:dyDescent="0.2">
      <c r="A176" s="188"/>
      <c r="B176" s="189"/>
      <c r="C176" s="84"/>
      <c r="D176" s="187"/>
      <c r="G176" s="182"/>
      <c r="H176" s="198"/>
      <c r="I176" s="199" t="s">
        <v>1049</v>
      </c>
      <c r="J176" s="187"/>
      <c r="K176" s="197" t="s">
        <v>1288</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1133</v>
      </c>
      <c r="G177" s="182"/>
      <c r="H177" s="198"/>
      <c r="I177" s="187"/>
      <c r="J177" s="204">
        <v>1</v>
      </c>
      <c r="K177" s="197"/>
      <c r="L177" s="197" t="s">
        <v>1281</v>
      </c>
      <c r="M177" s="182"/>
      <c r="N177" s="182"/>
      <c r="O177" s="234" t="s">
        <v>1133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1133</v>
      </c>
      <c r="G178" s="182"/>
      <c r="H178" s="198"/>
      <c r="I178" s="187"/>
      <c r="J178" s="204">
        <v>2</v>
      </c>
      <c r="K178" s="197"/>
      <c r="L178" s="197" t="s">
        <v>1217</v>
      </c>
      <c r="M178" s="182"/>
      <c r="N178" s="182"/>
      <c r="O178" s="234" t="s">
        <v>1133</v>
      </c>
      <c r="P178" s="182"/>
      <c r="Q178" s="182"/>
      <c r="R178" s="182"/>
      <c r="S178" s="182"/>
    </row>
    <row r="179" spans="1:19" x14ac:dyDescent="0.2">
      <c r="A179" s="188">
        <v>13</v>
      </c>
      <c r="B179" s="189" t="str">
        <f t="shared" si="31"/>
        <v>II-0015.0013</v>
      </c>
      <c r="C179" s="182" t="str">
        <f t="shared" si="33"/>
        <v>CORRECCION DE DEPRESIONES Y DEFORMACIONES SUELO CEMENTO</v>
      </c>
      <c r="D179" s="187" t="s">
        <v>1133</v>
      </c>
      <c r="G179" s="182"/>
      <c r="H179" s="198"/>
      <c r="I179" s="187"/>
      <c r="J179" s="204">
        <v>3</v>
      </c>
      <c r="K179" s="197"/>
      <c r="L179" s="197" t="s">
        <v>1220</v>
      </c>
      <c r="M179" s="182"/>
      <c r="N179" s="182"/>
      <c r="O179" s="234" t="s">
        <v>1133</v>
      </c>
      <c r="P179" s="182"/>
      <c r="Q179" s="182"/>
      <c r="R179" s="182"/>
      <c r="S179" s="182"/>
    </row>
    <row r="180" spans="1:19" x14ac:dyDescent="0.2">
      <c r="A180" s="188">
        <v>14</v>
      </c>
      <c r="B180" s="189" t="str">
        <f t="shared" si="31"/>
        <v>II-0015.0014</v>
      </c>
      <c r="C180" s="182" t="str">
        <f t="shared" si="33"/>
        <v>CORRECCION DE DEPRESIONES Y DEFORMACIONES SUELO ESCORIA</v>
      </c>
      <c r="D180" s="187" t="s">
        <v>1133</v>
      </c>
      <c r="G180" s="182"/>
      <c r="H180" s="198"/>
      <c r="I180" s="187"/>
      <c r="J180" s="204">
        <v>4</v>
      </c>
      <c r="K180" s="197"/>
      <c r="L180" s="197" t="s">
        <v>1282</v>
      </c>
      <c r="M180" s="182"/>
      <c r="N180" s="182"/>
      <c r="O180" s="234" t="s">
        <v>1133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1133</v>
      </c>
      <c r="G181" s="182"/>
      <c r="H181" s="198"/>
      <c r="I181" s="212"/>
      <c r="J181" s="207">
        <v>5</v>
      </c>
      <c r="K181" s="209"/>
      <c r="L181" s="209" t="s">
        <v>1223</v>
      </c>
      <c r="M181" s="208"/>
      <c r="N181" s="208"/>
      <c r="O181" s="252" t="s">
        <v>1133</v>
      </c>
      <c r="P181" s="182"/>
      <c r="Q181" s="182"/>
      <c r="R181" s="182"/>
      <c r="S181" s="182"/>
    </row>
    <row r="182" spans="1:19" ht="15.75" thickBot="1" x14ac:dyDescent="0.25">
      <c r="A182" s="188"/>
      <c r="B182" s="181"/>
      <c r="C182" s="206"/>
      <c r="D182" s="187" t="s">
        <v>997</v>
      </c>
      <c r="G182" s="182"/>
      <c r="H182" s="213"/>
      <c r="I182" s="225" t="s">
        <v>1085</v>
      </c>
      <c r="J182" s="214"/>
      <c r="K182" s="217" t="s">
        <v>1289</v>
      </c>
      <c r="L182" s="217"/>
      <c r="M182" s="216"/>
      <c r="N182" s="216"/>
      <c r="O182" s="278" t="s">
        <v>997</v>
      </c>
      <c r="P182" s="182"/>
      <c r="Q182" s="182"/>
      <c r="R182" s="182"/>
      <c r="S182" s="182"/>
    </row>
    <row r="183" spans="1:19" ht="15.75" thickTop="1" x14ac:dyDescent="0.2">
      <c r="A183" s="188">
        <v>16</v>
      </c>
      <c r="B183" s="189" t="s">
        <v>1290</v>
      </c>
      <c r="C183" s="84" t="s">
        <v>1291</v>
      </c>
      <c r="D183" s="187"/>
      <c r="G183" s="182"/>
      <c r="H183" s="220">
        <v>16</v>
      </c>
      <c r="I183" s="222"/>
      <c r="J183" s="232"/>
      <c r="K183" s="277" t="s">
        <v>1291</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5</v>
      </c>
      <c r="G184" s="182"/>
      <c r="H184" s="224"/>
      <c r="I184" s="225" t="s">
        <v>1022</v>
      </c>
      <c r="J184" s="228"/>
      <c r="K184" s="259" t="s">
        <v>1292</v>
      </c>
      <c r="L184" s="228"/>
      <c r="M184" s="228"/>
      <c r="N184" s="228"/>
      <c r="O184" s="260" t="s">
        <v>5</v>
      </c>
      <c r="P184" s="182"/>
      <c r="Q184" s="182"/>
      <c r="R184" s="182"/>
      <c r="S184" s="182"/>
    </row>
    <row r="185" spans="1:19" ht="15.75" thickTop="1" x14ac:dyDescent="0.2">
      <c r="A185" s="188">
        <v>17</v>
      </c>
      <c r="B185" s="189" t="s">
        <v>1293</v>
      </c>
      <c r="C185" s="84" t="s">
        <v>1294</v>
      </c>
      <c r="D185" s="187"/>
      <c r="G185" s="182"/>
      <c r="H185" s="220">
        <v>17</v>
      </c>
      <c r="I185" s="222"/>
      <c r="J185" s="232"/>
      <c r="K185" s="277" t="s">
        <v>1294</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1022</v>
      </c>
      <c r="J186" s="187"/>
      <c r="K186" s="197" t="s">
        <v>1295</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1216</v>
      </c>
      <c r="G187" s="182"/>
      <c r="H187" s="198"/>
      <c r="I187" s="187"/>
      <c r="J187" s="204">
        <v>1</v>
      </c>
      <c r="K187" s="197"/>
      <c r="L187" s="197" t="s">
        <v>1296</v>
      </c>
      <c r="M187" s="182"/>
      <c r="N187" s="182"/>
      <c r="O187" s="234" t="s">
        <v>1216</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1216</v>
      </c>
      <c r="G188" s="182"/>
      <c r="H188" s="198"/>
      <c r="I188" s="187"/>
      <c r="J188" s="207">
        <v>2</v>
      </c>
      <c r="K188" s="209"/>
      <c r="L188" s="209" t="s">
        <v>1297</v>
      </c>
      <c r="M188" s="208"/>
      <c r="N188" s="208"/>
      <c r="O188" s="252" t="s">
        <v>1216</v>
      </c>
      <c r="P188" s="182"/>
      <c r="Q188" s="182"/>
      <c r="R188" s="182"/>
      <c r="S188" s="182"/>
    </row>
    <row r="189" spans="1:19" x14ac:dyDescent="0.2">
      <c r="A189" s="188"/>
      <c r="B189" s="189"/>
      <c r="C189" s="84"/>
      <c r="D189" s="187"/>
      <c r="G189" s="182"/>
      <c r="H189" s="198"/>
      <c r="I189" s="199" t="s">
        <v>1049</v>
      </c>
      <c r="J189" s="187"/>
      <c r="K189" s="197" t="s">
        <v>1298</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1216</v>
      </c>
      <c r="G190" s="182"/>
      <c r="H190" s="198"/>
      <c r="I190" s="187"/>
      <c r="J190" s="204">
        <v>1</v>
      </c>
      <c r="K190" s="197"/>
      <c r="L190" s="197" t="s">
        <v>1296</v>
      </c>
      <c r="M190" s="182"/>
      <c r="N190" s="182"/>
      <c r="O190" s="234" t="s">
        <v>1216</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1216</v>
      </c>
      <c r="G191" s="182"/>
      <c r="H191" s="198"/>
      <c r="I191" s="187"/>
      <c r="J191" s="204">
        <v>2</v>
      </c>
      <c r="K191" s="197"/>
      <c r="L191" s="197" t="s">
        <v>1297</v>
      </c>
      <c r="M191" s="182"/>
      <c r="N191" s="182"/>
      <c r="O191" s="234" t="s">
        <v>1216</v>
      </c>
      <c r="P191" s="182"/>
      <c r="Q191" s="182"/>
      <c r="R191" s="182"/>
      <c r="S191" s="182"/>
    </row>
    <row r="192" spans="1:19" ht="15.75" thickBot="1" x14ac:dyDescent="0.25">
      <c r="A192" s="188">
        <v>13</v>
      </c>
      <c r="B192" s="189" t="str">
        <f t="shared" si="34"/>
        <v>II-0017.0013</v>
      </c>
      <c r="C192" s="182" t="str">
        <f t="shared" si="35"/>
        <v>CARPETA DE BAJO ESPESOR MICROAGLOMERADO</v>
      </c>
      <c r="D192" s="187" t="s">
        <v>1216</v>
      </c>
      <c r="G192" s="182"/>
      <c r="H192" s="198"/>
      <c r="I192" s="187"/>
      <c r="J192" s="204">
        <v>3</v>
      </c>
      <c r="K192" s="197"/>
      <c r="L192" s="197" t="s">
        <v>1287</v>
      </c>
      <c r="M192" s="182"/>
      <c r="N192" s="182"/>
      <c r="O192" s="234" t="s">
        <v>1216</v>
      </c>
      <c r="P192" s="182"/>
      <c r="Q192" s="182"/>
      <c r="R192" s="182"/>
      <c r="S192" s="182"/>
    </row>
    <row r="193" spans="1:19" ht="15.75" thickTop="1" x14ac:dyDescent="0.2">
      <c r="A193" s="188">
        <v>18</v>
      </c>
      <c r="B193" s="189" t="s">
        <v>1299</v>
      </c>
      <c r="C193" s="84" t="s">
        <v>1300</v>
      </c>
      <c r="D193" s="187"/>
      <c r="G193" s="182"/>
      <c r="H193" s="265">
        <v>18</v>
      </c>
      <c r="I193" s="221"/>
      <c r="J193" s="270"/>
      <c r="K193" s="271" t="s">
        <v>1300</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1133</v>
      </c>
      <c r="G194" s="182"/>
      <c r="H194" s="285"/>
      <c r="I194" s="199" t="s">
        <v>1022</v>
      </c>
      <c r="J194" s="240"/>
      <c r="K194" s="257" t="s">
        <v>1301</v>
      </c>
      <c r="L194" s="240"/>
      <c r="M194" s="240"/>
      <c r="N194" s="240"/>
      <c r="O194" s="256" t="s">
        <v>1133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1133</v>
      </c>
      <c r="G195" s="182"/>
      <c r="H195" s="253"/>
      <c r="I195" s="199" t="s">
        <v>1049</v>
      </c>
      <c r="J195" s="240"/>
      <c r="K195" s="257" t="s">
        <v>1302</v>
      </c>
      <c r="L195" s="240"/>
      <c r="M195" s="240"/>
      <c r="N195" s="240"/>
      <c r="O195" s="256" t="s">
        <v>1133</v>
      </c>
      <c r="P195" s="182"/>
      <c r="Q195" s="182"/>
      <c r="R195" s="182"/>
      <c r="S195" s="182"/>
    </row>
    <row r="196" spans="1:19" x14ac:dyDescent="0.2">
      <c r="A196" s="188">
        <v>3</v>
      </c>
      <c r="B196" s="189" t="str">
        <f t="shared" si="36"/>
        <v>II-0018.0003</v>
      </c>
      <c r="C196" s="182" t="str">
        <f t="shared" si="37"/>
        <v xml:space="preserve">REPARACION </v>
      </c>
      <c r="D196" s="187" t="s">
        <v>1133</v>
      </c>
      <c r="G196" s="182"/>
      <c r="H196" s="253"/>
      <c r="I196" s="199" t="s">
        <v>1059</v>
      </c>
      <c r="J196" s="240"/>
      <c r="K196" s="257" t="s">
        <v>1136</v>
      </c>
      <c r="L196" s="240"/>
      <c r="M196" s="240"/>
      <c r="N196" s="240"/>
      <c r="O196" s="256" t="s">
        <v>1133</v>
      </c>
      <c r="P196" s="182"/>
      <c r="Q196" s="182"/>
      <c r="R196" s="182"/>
      <c r="S196" s="182"/>
    </row>
    <row r="197" spans="1:19" x14ac:dyDescent="0.2">
      <c r="A197" s="188">
        <v>4</v>
      </c>
      <c r="B197" s="189" t="str">
        <f t="shared" si="36"/>
        <v>II-0018.0004</v>
      </c>
      <c r="C197" s="182" t="str">
        <f t="shared" si="37"/>
        <v xml:space="preserve">RETIRO  </v>
      </c>
      <c r="D197" s="187" t="s">
        <v>1133</v>
      </c>
      <c r="G197" s="182"/>
      <c r="H197" s="253"/>
      <c r="I197" s="199" t="s">
        <v>1085</v>
      </c>
      <c r="J197" s="240"/>
      <c r="K197" s="257" t="s">
        <v>1141</v>
      </c>
      <c r="L197" s="240"/>
      <c r="M197" s="240"/>
      <c r="N197" s="240"/>
      <c r="O197" s="256" t="s">
        <v>1133</v>
      </c>
      <c r="P197" s="182"/>
      <c r="Q197" s="182"/>
      <c r="R197" s="182"/>
      <c r="S197" s="182"/>
    </row>
    <row r="198" spans="1:19" ht="15.75" thickBot="1" x14ac:dyDescent="0.25">
      <c r="A198" s="188"/>
      <c r="B198" s="189"/>
      <c r="C198" s="84"/>
      <c r="D198" s="187" t="s">
        <v>1133</v>
      </c>
      <c r="G198" s="182"/>
      <c r="H198" s="258"/>
      <c r="I198" s="225" t="s">
        <v>1127</v>
      </c>
      <c r="J198" s="228"/>
      <c r="K198" s="259" t="s">
        <v>1259</v>
      </c>
      <c r="L198" s="228"/>
      <c r="M198" s="228"/>
      <c r="N198" s="228"/>
      <c r="O198" s="260" t="s">
        <v>1133</v>
      </c>
      <c r="P198" s="182"/>
      <c r="Q198" s="182"/>
      <c r="R198" s="182"/>
      <c r="S198" s="182"/>
    </row>
    <row r="199" spans="1:19" ht="15.75" thickTop="1" x14ac:dyDescent="0.2">
      <c r="A199" s="188">
        <v>19</v>
      </c>
      <c r="B199" s="189" t="s">
        <v>1303</v>
      </c>
      <c r="C199" s="84" t="s">
        <v>1304</v>
      </c>
      <c r="D199" s="187"/>
      <c r="G199" s="182"/>
      <c r="H199" s="220">
        <v>19</v>
      </c>
      <c r="I199" s="222"/>
      <c r="J199" s="232"/>
      <c r="K199" s="277" t="s">
        <v>1304</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1022</v>
      </c>
      <c r="J200" s="187"/>
      <c r="K200" s="197" t="s">
        <v>1305</v>
      </c>
      <c r="L200" s="182"/>
      <c r="M200" s="182"/>
      <c r="N200" s="182"/>
      <c r="O200" s="234"/>
      <c r="P200" s="182"/>
      <c r="Q200" s="182"/>
      <c r="R200" s="182"/>
      <c r="S200" s="182"/>
    </row>
    <row r="201" spans="1:19" x14ac:dyDescent="0.2">
      <c r="A201" s="188">
        <v>1</v>
      </c>
      <c r="B201" s="84"/>
      <c r="C201" s="182" t="str">
        <f>CONCATENATE("S/PLANO ",$K$200," - TIPO ",L201 )</f>
        <v>S/PLANO H-8431 - TIPO A</v>
      </c>
      <c r="D201" s="187" t="s">
        <v>1258</v>
      </c>
      <c r="G201" s="182"/>
      <c r="H201" s="198"/>
      <c r="I201" s="187"/>
      <c r="J201" s="204">
        <v>1</v>
      </c>
      <c r="K201" s="182"/>
      <c r="L201" s="197" t="s">
        <v>1022</v>
      </c>
      <c r="M201" s="182"/>
      <c r="N201" s="182"/>
      <c r="O201" s="234" t="s">
        <v>1258</v>
      </c>
      <c r="P201" s="182"/>
      <c r="Q201" s="182"/>
      <c r="R201" s="182"/>
      <c r="S201" s="182"/>
    </row>
    <row r="202" spans="1:19" x14ac:dyDescent="0.2">
      <c r="A202" s="188">
        <v>2</v>
      </c>
      <c r="B202" s="189"/>
      <c r="C202" s="182" t="str">
        <f t="shared" ref="C202:C203" si="38">CONCATENATE("S/PLANO ",$K$200," - TIPO ",L202 )</f>
        <v>S/PLANO H-8431 - TIPO B</v>
      </c>
      <c r="D202" s="187" t="s">
        <v>1258</v>
      </c>
      <c r="G202" s="182"/>
      <c r="H202" s="198"/>
      <c r="I202" s="187"/>
      <c r="J202" s="204">
        <v>2</v>
      </c>
      <c r="K202" s="182"/>
      <c r="L202" s="197" t="s">
        <v>1049</v>
      </c>
      <c r="M202" s="182"/>
      <c r="N202" s="182"/>
      <c r="O202" s="234" t="s">
        <v>1258</v>
      </c>
      <c r="P202" s="182"/>
      <c r="Q202" s="182"/>
      <c r="R202" s="182"/>
      <c r="S202" s="182"/>
    </row>
    <row r="203" spans="1:19" ht="15.75" thickBot="1" x14ac:dyDescent="0.25">
      <c r="A203" s="188">
        <v>3</v>
      </c>
      <c r="B203" s="84"/>
      <c r="C203" s="182" t="str">
        <f t="shared" si="38"/>
        <v>S/PLANO H-8431 - TIPO C</v>
      </c>
      <c r="D203" s="187" t="s">
        <v>1258</v>
      </c>
      <c r="G203" s="182"/>
      <c r="H203" s="244"/>
      <c r="I203" s="245"/>
      <c r="J203" s="246">
        <v>3</v>
      </c>
      <c r="K203" s="247"/>
      <c r="L203" s="248" t="s">
        <v>1059</v>
      </c>
      <c r="M203" s="247"/>
      <c r="N203" s="247"/>
      <c r="O203" s="280" t="s">
        <v>1258</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1304</v>
      </c>
      <c r="L205" s="232"/>
      <c r="M205" s="232"/>
      <c r="N205" s="232"/>
      <c r="O205" s="242"/>
      <c r="P205" s="182"/>
      <c r="Q205" s="182"/>
      <c r="R205" s="182"/>
      <c r="S205" s="182"/>
    </row>
    <row r="206" spans="1:19" x14ac:dyDescent="0.2">
      <c r="A206" s="188"/>
      <c r="B206" s="189"/>
      <c r="C206" s="84"/>
      <c r="D206" s="187"/>
      <c r="G206" s="182"/>
      <c r="H206" s="198"/>
      <c r="I206" s="199" t="s">
        <v>1022</v>
      </c>
      <c r="J206" s="187"/>
      <c r="K206" s="197" t="s">
        <v>1305</v>
      </c>
      <c r="L206" s="182"/>
      <c r="M206" s="182"/>
      <c r="N206" s="182"/>
      <c r="O206" s="234"/>
      <c r="P206" s="182"/>
      <c r="Q206" s="182"/>
      <c r="R206" s="182"/>
      <c r="S206" s="182"/>
    </row>
    <row r="207" spans="1:19" x14ac:dyDescent="0.2">
      <c r="A207" s="188"/>
      <c r="B207" s="181"/>
      <c r="C207" s="84"/>
      <c r="D207" s="187" t="s">
        <v>1258</v>
      </c>
      <c r="G207" s="182"/>
      <c r="H207" s="198"/>
      <c r="I207" s="187"/>
      <c r="J207" s="204">
        <v>4</v>
      </c>
      <c r="K207" s="182"/>
      <c r="L207" s="197" t="s">
        <v>1085</v>
      </c>
      <c r="M207" s="182"/>
      <c r="N207" s="182"/>
      <c r="O207" s="234" t="s">
        <v>1258</v>
      </c>
      <c r="P207" s="182"/>
      <c r="Q207" s="182"/>
      <c r="R207" s="182"/>
      <c r="S207" s="182"/>
    </row>
    <row r="208" spans="1:19" x14ac:dyDescent="0.2">
      <c r="A208" s="188"/>
      <c r="B208" s="189"/>
      <c r="C208" s="84"/>
      <c r="D208" s="187" t="s">
        <v>1258</v>
      </c>
      <c r="G208" s="182"/>
      <c r="H208" s="198"/>
      <c r="I208" s="187"/>
      <c r="J208" s="204">
        <v>5</v>
      </c>
      <c r="K208" s="182"/>
      <c r="L208" s="197" t="s">
        <v>1127</v>
      </c>
      <c r="M208" s="182"/>
      <c r="N208" s="182"/>
      <c r="O208" s="234" t="s">
        <v>1258</v>
      </c>
      <c r="P208" s="182"/>
      <c r="Q208" s="182"/>
      <c r="R208" s="182"/>
      <c r="S208" s="182"/>
    </row>
    <row r="209" spans="1:19" x14ac:dyDescent="0.2">
      <c r="A209" s="188"/>
      <c r="B209" s="181"/>
      <c r="C209" s="84"/>
      <c r="D209" s="187" t="s">
        <v>1258</v>
      </c>
      <c r="G209" s="182"/>
      <c r="H209" s="198"/>
      <c r="I209" s="187"/>
      <c r="J209" s="204">
        <v>6</v>
      </c>
      <c r="K209" s="182"/>
      <c r="L209" s="197" t="s">
        <v>1130</v>
      </c>
      <c r="M209" s="182"/>
      <c r="N209" s="182"/>
      <c r="O209" s="234" t="s">
        <v>1258</v>
      </c>
      <c r="P209" s="182"/>
      <c r="Q209" s="182"/>
      <c r="R209" s="182"/>
      <c r="S209" s="182"/>
    </row>
    <row r="210" spans="1:19" x14ac:dyDescent="0.2">
      <c r="A210" s="188"/>
      <c r="B210" s="181"/>
      <c r="C210" s="84"/>
      <c r="D210" s="187" t="s">
        <v>1258</v>
      </c>
      <c r="G210" s="182"/>
      <c r="H210" s="198"/>
      <c r="I210" s="187"/>
      <c r="J210" s="204">
        <v>7</v>
      </c>
      <c r="K210" s="182"/>
      <c r="L210" s="197" t="s">
        <v>1134</v>
      </c>
      <c r="M210" s="182"/>
      <c r="N210" s="182"/>
      <c r="O210" s="234" t="s">
        <v>1258</v>
      </c>
      <c r="P210" s="182"/>
      <c r="Q210" s="182"/>
      <c r="R210" s="182"/>
      <c r="S210" s="182"/>
    </row>
    <row r="211" spans="1:19" x14ac:dyDescent="0.2">
      <c r="A211" s="188"/>
      <c r="B211" s="181"/>
      <c r="C211" s="206"/>
      <c r="D211" s="187" t="s">
        <v>1258</v>
      </c>
      <c r="G211" s="182"/>
      <c r="H211" s="198"/>
      <c r="I211" s="187"/>
      <c r="J211" s="204">
        <v>8</v>
      </c>
      <c r="K211" s="182"/>
      <c r="L211" s="197" t="s">
        <v>1137</v>
      </c>
      <c r="M211" s="182"/>
      <c r="N211" s="182"/>
      <c r="O211" s="234" t="s">
        <v>1258</v>
      </c>
      <c r="P211" s="182"/>
      <c r="Q211" s="182"/>
      <c r="R211" s="182"/>
      <c r="S211" s="182"/>
    </row>
    <row r="212" spans="1:19" x14ac:dyDescent="0.2">
      <c r="A212" s="188"/>
      <c r="B212" s="189"/>
      <c r="C212" s="84"/>
      <c r="D212" s="187" t="s">
        <v>1258</v>
      </c>
      <c r="G212" s="182"/>
      <c r="H212" s="198"/>
      <c r="I212" s="187"/>
      <c r="J212" s="204">
        <v>9</v>
      </c>
      <c r="K212" s="182"/>
      <c r="L212" s="197" t="s">
        <v>889</v>
      </c>
      <c r="M212" s="182"/>
      <c r="N212" s="182"/>
      <c r="O212" s="234" t="s">
        <v>1258</v>
      </c>
      <c r="P212" s="182"/>
      <c r="Q212" s="182"/>
      <c r="R212" s="182"/>
      <c r="S212" s="182"/>
    </row>
    <row r="213" spans="1:19" x14ac:dyDescent="0.2">
      <c r="A213" s="188"/>
      <c r="B213" s="189"/>
      <c r="C213" s="84"/>
      <c r="D213" s="187" t="s">
        <v>1258</v>
      </c>
      <c r="G213" s="182"/>
      <c r="H213" s="198"/>
      <c r="I213" s="212"/>
      <c r="J213" s="207">
        <v>10</v>
      </c>
      <c r="K213" s="208"/>
      <c r="L213" s="209" t="s">
        <v>1142</v>
      </c>
      <c r="M213" s="208"/>
      <c r="N213" s="208"/>
      <c r="O213" s="252" t="s">
        <v>1258</v>
      </c>
      <c r="P213" s="182"/>
      <c r="Q213" s="182"/>
      <c r="R213" s="182"/>
      <c r="S213" s="182"/>
    </row>
    <row r="214" spans="1:19" x14ac:dyDescent="0.2">
      <c r="A214" s="188"/>
      <c r="B214" s="189"/>
      <c r="C214" s="84"/>
      <c r="D214" s="187" t="s">
        <v>1258</v>
      </c>
      <c r="G214" s="182"/>
      <c r="H214" s="198"/>
      <c r="I214" s="207" t="s">
        <v>1049</v>
      </c>
      <c r="J214" s="187"/>
      <c r="K214" s="197" t="s">
        <v>1306</v>
      </c>
      <c r="L214" s="182"/>
      <c r="M214" s="182"/>
      <c r="N214" s="182"/>
      <c r="O214" s="234" t="s">
        <v>1258</v>
      </c>
      <c r="P214" s="182"/>
      <c r="Q214" s="182"/>
      <c r="R214" s="182"/>
      <c r="S214" s="182"/>
    </row>
    <row r="215" spans="1:19" x14ac:dyDescent="0.2">
      <c r="A215" s="188"/>
      <c r="B215" s="189"/>
      <c r="C215" s="84"/>
      <c r="D215" s="187" t="s">
        <v>1258</v>
      </c>
      <c r="G215" s="182"/>
      <c r="H215" s="198"/>
      <c r="I215" s="187"/>
      <c r="J215" s="204">
        <v>1</v>
      </c>
      <c r="K215" s="182"/>
      <c r="L215" s="197" t="s">
        <v>1022</v>
      </c>
      <c r="M215" s="182"/>
      <c r="N215" s="182"/>
      <c r="O215" s="234" t="s">
        <v>1258</v>
      </c>
      <c r="P215" s="182"/>
      <c r="Q215" s="182"/>
      <c r="R215" s="182"/>
      <c r="S215" s="182"/>
    </row>
    <row r="216" spans="1:19" x14ac:dyDescent="0.2">
      <c r="A216" s="188"/>
      <c r="B216" s="189"/>
      <c r="C216" s="84"/>
      <c r="D216" s="187" t="s">
        <v>1258</v>
      </c>
      <c r="G216" s="182"/>
      <c r="H216" s="198"/>
      <c r="I216" s="187"/>
      <c r="J216" s="204">
        <v>2</v>
      </c>
      <c r="K216" s="182"/>
      <c r="L216" s="197" t="s">
        <v>1049</v>
      </c>
      <c r="M216" s="182"/>
      <c r="N216" s="182"/>
      <c r="O216" s="234" t="s">
        <v>1258</v>
      </c>
      <c r="P216" s="182"/>
      <c r="Q216" s="182"/>
      <c r="R216" s="182"/>
      <c r="S216" s="182"/>
    </row>
    <row r="217" spans="1:19" x14ac:dyDescent="0.2">
      <c r="A217" s="188"/>
      <c r="B217" s="181"/>
      <c r="C217" s="84"/>
      <c r="D217" s="187" t="s">
        <v>1258</v>
      </c>
      <c r="G217" s="182"/>
      <c r="H217" s="198"/>
      <c r="I217" s="187"/>
      <c r="J217" s="204">
        <v>3</v>
      </c>
      <c r="K217" s="182"/>
      <c r="L217" s="197" t="s">
        <v>1059</v>
      </c>
      <c r="M217" s="182"/>
      <c r="N217" s="182"/>
      <c r="O217" s="234" t="s">
        <v>1258</v>
      </c>
      <c r="P217" s="182"/>
      <c r="Q217" s="182"/>
      <c r="R217" s="182"/>
      <c r="S217" s="182"/>
    </row>
    <row r="218" spans="1:19" x14ac:dyDescent="0.2">
      <c r="A218" s="188"/>
      <c r="B218" s="181"/>
      <c r="C218" s="206"/>
      <c r="D218" s="187" t="s">
        <v>1258</v>
      </c>
      <c r="G218" s="182"/>
      <c r="H218" s="198"/>
      <c r="I218" s="187"/>
      <c r="J218" s="204">
        <v>4</v>
      </c>
      <c r="K218" s="182"/>
      <c r="L218" s="197" t="s">
        <v>1085</v>
      </c>
      <c r="M218" s="182"/>
      <c r="N218" s="182"/>
      <c r="O218" s="234" t="s">
        <v>1258</v>
      </c>
      <c r="P218" s="182"/>
      <c r="Q218" s="182"/>
      <c r="R218" s="182"/>
      <c r="S218" s="182"/>
    </row>
    <row r="219" spans="1:19" x14ac:dyDescent="0.2">
      <c r="A219" s="188"/>
      <c r="B219" s="189"/>
      <c r="C219" s="84"/>
      <c r="D219" s="187" t="s">
        <v>1258</v>
      </c>
      <c r="G219" s="182"/>
      <c r="H219" s="198"/>
      <c r="I219" s="182"/>
      <c r="J219" s="204">
        <v>5</v>
      </c>
      <c r="K219" s="182"/>
      <c r="L219" s="197" t="s">
        <v>1127</v>
      </c>
      <c r="M219" s="182"/>
      <c r="N219" s="182"/>
      <c r="O219" s="234" t="s">
        <v>1258</v>
      </c>
      <c r="P219" s="182"/>
      <c r="Q219" s="182"/>
      <c r="R219" s="182"/>
      <c r="S219" s="182"/>
    </row>
    <row r="220" spans="1:19" x14ac:dyDescent="0.2">
      <c r="A220" s="188"/>
      <c r="B220" s="189"/>
      <c r="C220" s="84"/>
      <c r="D220" s="187" t="s">
        <v>1258</v>
      </c>
      <c r="G220" s="182"/>
      <c r="H220" s="198"/>
      <c r="I220" s="182"/>
      <c r="J220" s="204">
        <v>6</v>
      </c>
      <c r="K220" s="182"/>
      <c r="L220" s="197" t="s">
        <v>1130</v>
      </c>
      <c r="M220" s="182"/>
      <c r="N220" s="182"/>
      <c r="O220" s="234" t="s">
        <v>1258</v>
      </c>
      <c r="P220" s="182"/>
      <c r="Q220" s="182"/>
      <c r="R220" s="182"/>
      <c r="S220" s="182"/>
    </row>
    <row r="221" spans="1:19" x14ac:dyDescent="0.2">
      <c r="A221" s="188"/>
      <c r="B221" s="181"/>
      <c r="C221" s="84"/>
      <c r="D221" s="187" t="s">
        <v>1258</v>
      </c>
      <c r="G221" s="182"/>
      <c r="H221" s="198"/>
      <c r="I221" s="187"/>
      <c r="J221" s="204">
        <v>7</v>
      </c>
      <c r="K221" s="182"/>
      <c r="L221" s="197" t="s">
        <v>1134</v>
      </c>
      <c r="M221" s="182"/>
      <c r="N221" s="182"/>
      <c r="O221" s="234" t="s">
        <v>1258</v>
      </c>
      <c r="P221" s="182"/>
      <c r="Q221" s="182"/>
      <c r="R221" s="182"/>
      <c r="S221" s="182"/>
    </row>
    <row r="222" spans="1:19" x14ac:dyDescent="0.2">
      <c r="A222" s="188"/>
      <c r="B222" s="181"/>
      <c r="C222" s="84"/>
      <c r="D222" s="187" t="s">
        <v>1258</v>
      </c>
      <c r="G222" s="182"/>
      <c r="H222" s="198"/>
      <c r="I222" s="187"/>
      <c r="J222" s="204">
        <v>8</v>
      </c>
      <c r="K222" s="182"/>
      <c r="L222" s="197" t="s">
        <v>1137</v>
      </c>
      <c r="M222" s="182"/>
      <c r="N222" s="182"/>
      <c r="O222" s="234" t="s">
        <v>1258</v>
      </c>
      <c r="P222" s="182"/>
      <c r="Q222" s="182"/>
      <c r="R222" s="182"/>
      <c r="S222" s="182"/>
    </row>
    <row r="223" spans="1:19" x14ac:dyDescent="0.2">
      <c r="A223" s="188"/>
      <c r="B223" s="181"/>
      <c r="C223" s="84"/>
      <c r="D223" s="187" t="s">
        <v>1258</v>
      </c>
      <c r="G223" s="182"/>
      <c r="H223" s="198"/>
      <c r="I223" s="187"/>
      <c r="J223" s="204">
        <v>9</v>
      </c>
      <c r="K223" s="182"/>
      <c r="L223" s="197" t="s">
        <v>889</v>
      </c>
      <c r="M223" s="182"/>
      <c r="N223" s="182"/>
      <c r="O223" s="234" t="s">
        <v>1258</v>
      </c>
      <c r="P223" s="182"/>
      <c r="Q223" s="182"/>
      <c r="R223" s="182"/>
      <c r="S223" s="182"/>
    </row>
    <row r="224" spans="1:19" x14ac:dyDescent="0.2">
      <c r="A224" s="188"/>
      <c r="B224" s="181"/>
      <c r="C224" s="206"/>
      <c r="D224" s="187" t="s">
        <v>1258</v>
      </c>
      <c r="G224" s="182"/>
      <c r="H224" s="198"/>
      <c r="I224" s="187"/>
      <c r="J224" s="207">
        <v>10</v>
      </c>
      <c r="K224" s="208"/>
      <c r="L224" s="197" t="s">
        <v>1142</v>
      </c>
      <c r="M224" s="182"/>
      <c r="N224" s="182"/>
      <c r="O224" s="234" t="s">
        <v>1258</v>
      </c>
      <c r="P224" s="182"/>
      <c r="Q224" s="182"/>
      <c r="R224" s="182"/>
      <c r="S224" s="182"/>
    </row>
    <row r="225" spans="1:19" x14ac:dyDescent="0.2">
      <c r="A225" s="188"/>
      <c r="B225" s="189"/>
      <c r="C225" s="84"/>
      <c r="D225" s="187" t="s">
        <v>1258</v>
      </c>
      <c r="G225" s="182"/>
      <c r="H225" s="198"/>
      <c r="I225" s="199" t="s">
        <v>1059</v>
      </c>
      <c r="J225" s="240"/>
      <c r="K225" s="209" t="s">
        <v>1307</v>
      </c>
      <c r="L225" s="240"/>
      <c r="M225" s="240"/>
      <c r="N225" s="240"/>
      <c r="O225" s="256" t="s">
        <v>1258</v>
      </c>
      <c r="P225" s="182"/>
      <c r="Q225" s="182"/>
      <c r="R225" s="182"/>
      <c r="S225" s="182"/>
    </row>
    <row r="226" spans="1:19" x14ac:dyDescent="0.2">
      <c r="A226" s="188"/>
      <c r="B226" s="189"/>
      <c r="C226" s="84"/>
      <c r="D226" s="187" t="s">
        <v>1258</v>
      </c>
      <c r="G226" s="182"/>
      <c r="H226" s="198"/>
      <c r="I226" s="199" t="s">
        <v>1085</v>
      </c>
      <c r="J226" s="240"/>
      <c r="K226" s="257" t="s">
        <v>1141</v>
      </c>
      <c r="L226" s="240"/>
      <c r="M226" s="240"/>
      <c r="N226" s="240"/>
      <c r="O226" s="234" t="s">
        <v>1258</v>
      </c>
      <c r="P226" s="182"/>
      <c r="Q226" s="182"/>
      <c r="R226" s="182"/>
      <c r="S226" s="182"/>
    </row>
    <row r="227" spans="1:19" ht="15.75" thickBot="1" x14ac:dyDescent="0.25">
      <c r="A227" s="188"/>
      <c r="B227" s="189"/>
      <c r="C227" s="84"/>
      <c r="D227" s="187" t="s">
        <v>1258</v>
      </c>
      <c r="G227" s="182"/>
      <c r="H227" s="213"/>
      <c r="I227" s="215" t="s">
        <v>1127</v>
      </c>
      <c r="J227" s="216"/>
      <c r="K227" s="217" t="s">
        <v>1308</v>
      </c>
      <c r="L227" s="216"/>
      <c r="M227" s="216"/>
      <c r="N227" s="216"/>
      <c r="O227" s="260" t="s">
        <v>1258</v>
      </c>
      <c r="P227" s="182"/>
      <c r="Q227" s="182"/>
      <c r="R227" s="182"/>
      <c r="S227" s="182"/>
    </row>
    <row r="228" spans="1:19" ht="16.5" thickTop="1" thickBot="1" x14ac:dyDescent="0.25">
      <c r="A228" s="188">
        <v>20</v>
      </c>
      <c r="B228" s="189" t="s">
        <v>1309</v>
      </c>
      <c r="C228" s="84" t="s">
        <v>1310</v>
      </c>
      <c r="D228" s="187" t="s">
        <v>998</v>
      </c>
      <c r="G228" s="182"/>
      <c r="H228" s="286">
        <v>20</v>
      </c>
      <c r="I228" s="287"/>
      <c r="J228" s="288"/>
      <c r="K228" s="289" t="s">
        <v>1310</v>
      </c>
      <c r="L228" s="288"/>
      <c r="M228" s="288"/>
      <c r="N228" s="288"/>
      <c r="O228" s="290" t="s">
        <v>998</v>
      </c>
      <c r="P228" s="182"/>
      <c r="Q228" s="196">
        <f>H228</f>
        <v>20</v>
      </c>
      <c r="R228" s="187" t="str">
        <f>CONCATENATE("II-",TEXT(Q228,"0000"))</f>
        <v>II-0020</v>
      </c>
      <c r="S228" s="197" t="str">
        <f>K228</f>
        <v>CORTE DE PASTO</v>
      </c>
    </row>
    <row r="229" spans="1:19" ht="15.75" thickTop="1" x14ac:dyDescent="0.2">
      <c r="A229" s="188">
        <v>21</v>
      </c>
      <c r="B229" s="189" t="s">
        <v>1311</v>
      </c>
      <c r="C229" s="84" t="s">
        <v>1312</v>
      </c>
      <c r="D229" s="187"/>
      <c r="G229" s="182"/>
      <c r="H229" s="265">
        <v>21</v>
      </c>
      <c r="I229" s="222"/>
      <c r="J229" s="232"/>
      <c r="K229" s="277" t="s">
        <v>1312</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1133</v>
      </c>
      <c r="G230" s="182"/>
      <c r="H230" s="253"/>
      <c r="I230" s="212" t="s">
        <v>1022</v>
      </c>
      <c r="J230" s="208"/>
      <c r="K230" s="209" t="s">
        <v>1313</v>
      </c>
      <c r="L230" s="208"/>
      <c r="M230" s="208"/>
      <c r="N230" s="208"/>
      <c r="O230" s="252" t="s">
        <v>1133</v>
      </c>
      <c r="P230" s="182"/>
      <c r="Q230" s="182"/>
      <c r="R230" s="182"/>
      <c r="S230" s="182"/>
    </row>
    <row r="231" spans="1:19" x14ac:dyDescent="0.2">
      <c r="A231" s="188"/>
      <c r="B231" s="189"/>
      <c r="C231" s="84"/>
      <c r="D231" s="187" t="s">
        <v>1216</v>
      </c>
      <c r="G231" s="182"/>
      <c r="H231" s="253"/>
      <c r="I231" s="199" t="s">
        <v>1049</v>
      </c>
      <c r="J231" s="240"/>
      <c r="K231" s="257" t="s">
        <v>1136</v>
      </c>
      <c r="L231" s="240"/>
      <c r="M231" s="240"/>
      <c r="N231" s="240"/>
      <c r="O231" s="256" t="s">
        <v>1216</v>
      </c>
      <c r="P231" s="182"/>
      <c r="Q231" s="182"/>
      <c r="R231" s="182"/>
      <c r="S231" s="182"/>
    </row>
    <row r="232" spans="1:19" x14ac:dyDescent="0.2">
      <c r="A232" s="188"/>
      <c r="B232" s="189"/>
      <c r="C232" s="84"/>
      <c r="D232" s="187" t="s">
        <v>1258</v>
      </c>
      <c r="G232" s="182"/>
      <c r="H232" s="253"/>
      <c r="I232" s="199" t="s">
        <v>1059</v>
      </c>
      <c r="J232" s="240"/>
      <c r="K232" s="257" t="s">
        <v>1141</v>
      </c>
      <c r="L232" s="240"/>
      <c r="M232" s="240"/>
      <c r="N232" s="240"/>
      <c r="O232" s="256" t="s">
        <v>1258</v>
      </c>
      <c r="P232" s="182"/>
      <c r="Q232" s="182"/>
      <c r="R232" s="182"/>
      <c r="S232" s="182"/>
    </row>
    <row r="233" spans="1:19" x14ac:dyDescent="0.2">
      <c r="A233" s="188"/>
      <c r="B233" s="181"/>
      <c r="C233" s="84"/>
      <c r="D233" s="187" t="s">
        <v>997</v>
      </c>
      <c r="G233" s="182"/>
      <c r="H233" s="253"/>
      <c r="I233" s="199" t="s">
        <v>1085</v>
      </c>
      <c r="J233" s="240"/>
      <c r="K233" s="257" t="s">
        <v>1197</v>
      </c>
      <c r="L233" s="240"/>
      <c r="M233" s="240"/>
      <c r="N233" s="240"/>
      <c r="O233" s="256" t="s">
        <v>997</v>
      </c>
      <c r="P233" s="182"/>
      <c r="Q233" s="182"/>
      <c r="R233" s="182"/>
      <c r="S233" s="182"/>
    </row>
    <row r="234" spans="1:19" x14ac:dyDescent="0.2">
      <c r="A234" s="188"/>
      <c r="B234" s="181"/>
      <c r="C234" s="84"/>
      <c r="D234" s="187" t="s">
        <v>1133</v>
      </c>
      <c r="G234" s="182"/>
      <c r="H234" s="253"/>
      <c r="I234" s="199" t="s">
        <v>1127</v>
      </c>
      <c r="J234" s="240"/>
      <c r="K234" s="257" t="s">
        <v>1314</v>
      </c>
      <c r="L234" s="240"/>
      <c r="M234" s="240"/>
      <c r="N234" s="240"/>
      <c r="O234" s="256" t="s">
        <v>1133</v>
      </c>
      <c r="P234" s="182"/>
      <c r="Q234" s="182"/>
      <c r="R234" s="182"/>
      <c r="S234" s="182"/>
    </row>
    <row r="235" spans="1:19" ht="15.75" thickBot="1" x14ac:dyDescent="0.25">
      <c r="A235" s="188"/>
      <c r="B235" s="181"/>
      <c r="C235" s="206"/>
      <c r="D235" s="187" t="s">
        <v>997</v>
      </c>
      <c r="G235" s="182"/>
      <c r="H235" s="258"/>
      <c r="I235" s="225" t="s">
        <v>1130</v>
      </c>
      <c r="J235" s="228"/>
      <c r="K235" s="259" t="s">
        <v>1315</v>
      </c>
      <c r="L235" s="228"/>
      <c r="M235" s="228"/>
      <c r="N235" s="228"/>
      <c r="O235" s="260" t="s">
        <v>997</v>
      </c>
      <c r="P235" s="182"/>
      <c r="Q235" s="182"/>
      <c r="R235" s="182"/>
      <c r="S235" s="182"/>
    </row>
    <row r="236" spans="1:19" ht="16.5" thickTop="1" thickBot="1" x14ac:dyDescent="0.25">
      <c r="A236" s="188">
        <v>22</v>
      </c>
      <c r="B236" s="189" t="s">
        <v>1316</v>
      </c>
      <c r="C236" s="84" t="s">
        <v>1317</v>
      </c>
      <c r="D236" s="187" t="s">
        <v>5</v>
      </c>
      <c r="G236" s="182"/>
      <c r="H236" s="291">
        <v>22</v>
      </c>
      <c r="I236" s="292"/>
      <c r="J236" s="293"/>
      <c r="K236" s="294" t="s">
        <v>1317</v>
      </c>
      <c r="L236" s="293"/>
      <c r="M236" s="293"/>
      <c r="N236" s="293"/>
      <c r="O236" s="295" t="s">
        <v>5</v>
      </c>
      <c r="P236" s="182"/>
      <c r="Q236" s="196">
        <f>H236</f>
        <v>22</v>
      </c>
      <c r="R236" s="187" t="str">
        <f>CONCATENATE("II-",TEXT(Q236,"0000"))</f>
        <v>II-0022</v>
      </c>
      <c r="S236" s="197" t="str">
        <f>K236</f>
        <v>DARSENA DE DETENCION DE VEHICULOS</v>
      </c>
    </row>
    <row r="237" spans="1:19" ht="15.75" thickTop="1" x14ac:dyDescent="0.2">
      <c r="A237" s="188">
        <v>23</v>
      </c>
      <c r="B237" s="178" t="s">
        <v>1318</v>
      </c>
      <c r="C237" s="178" t="s">
        <v>1319</v>
      </c>
      <c r="D237" s="187"/>
      <c r="G237" s="182"/>
      <c r="H237" s="265">
        <v>23</v>
      </c>
      <c r="I237" s="221"/>
      <c r="J237" s="270"/>
      <c r="K237" s="271" t="s">
        <v>1319</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1216</v>
      </c>
      <c r="G238" s="182"/>
      <c r="H238" s="198"/>
      <c r="I238" s="199" t="s">
        <v>1022</v>
      </c>
      <c r="J238" s="240"/>
      <c r="K238" s="257" t="s">
        <v>1320</v>
      </c>
      <c r="L238" s="240"/>
      <c r="M238" s="240"/>
      <c r="N238" s="240"/>
      <c r="O238" s="256" t="s">
        <v>1216</v>
      </c>
      <c r="P238" s="182"/>
      <c r="Q238" s="182"/>
      <c r="R238" s="182"/>
      <c r="S238" s="182"/>
    </row>
    <row r="239" spans="1:19" x14ac:dyDescent="0.2">
      <c r="A239" s="188"/>
      <c r="B239" s="178"/>
      <c r="C239" s="178"/>
      <c r="D239" s="187" t="s">
        <v>1216</v>
      </c>
      <c r="G239" s="182"/>
      <c r="H239" s="198"/>
      <c r="I239" s="199" t="s">
        <v>1049</v>
      </c>
      <c r="J239" s="240"/>
      <c r="K239" s="257" t="s">
        <v>1321</v>
      </c>
      <c r="L239" s="240"/>
      <c r="M239" s="240"/>
      <c r="N239" s="240"/>
      <c r="O239" s="256" t="s">
        <v>1216</v>
      </c>
      <c r="P239" s="182"/>
      <c r="Q239" s="182"/>
      <c r="R239" s="182"/>
      <c r="S239" s="182"/>
    </row>
    <row r="240" spans="1:19" x14ac:dyDescent="0.2">
      <c r="A240" s="188"/>
      <c r="B240" s="178"/>
      <c r="C240" s="178"/>
      <c r="D240" s="187" t="s">
        <v>1216</v>
      </c>
      <c r="G240" s="182"/>
      <c r="H240" s="198"/>
      <c r="I240" s="199" t="s">
        <v>1059</v>
      </c>
      <c r="J240" s="240"/>
      <c r="K240" s="257" t="s">
        <v>1322</v>
      </c>
      <c r="L240" s="240"/>
      <c r="M240" s="240"/>
      <c r="N240" s="240"/>
      <c r="O240" s="256" t="s">
        <v>1216</v>
      </c>
      <c r="P240" s="182"/>
      <c r="Q240" s="182"/>
      <c r="R240" s="182"/>
      <c r="S240" s="182"/>
    </row>
    <row r="241" spans="1:19" x14ac:dyDescent="0.2">
      <c r="A241" s="188"/>
      <c r="B241" s="181"/>
      <c r="C241" s="206"/>
      <c r="D241" s="187" t="s">
        <v>1133</v>
      </c>
      <c r="G241" s="182"/>
      <c r="H241" s="198"/>
      <c r="I241" s="199" t="s">
        <v>1085</v>
      </c>
      <c r="J241" s="240"/>
      <c r="K241" s="257" t="s">
        <v>1323</v>
      </c>
      <c r="L241" s="240"/>
      <c r="M241" s="240"/>
      <c r="N241" s="240"/>
      <c r="O241" s="256" t="s">
        <v>1133</v>
      </c>
      <c r="P241" s="182"/>
      <c r="Q241" s="182"/>
      <c r="R241" s="182"/>
      <c r="S241" s="182"/>
    </row>
    <row r="242" spans="1:19" x14ac:dyDescent="0.2">
      <c r="A242" s="188"/>
      <c r="B242" s="189"/>
      <c r="C242" s="84"/>
      <c r="D242" s="187" t="s">
        <v>1133</v>
      </c>
      <c r="G242" s="182"/>
      <c r="H242" s="198"/>
      <c r="I242" s="199" t="s">
        <v>1127</v>
      </c>
      <c r="J242" s="240"/>
      <c r="K242" s="257" t="s">
        <v>1136</v>
      </c>
      <c r="L242" s="240"/>
      <c r="M242" s="240"/>
      <c r="N242" s="240"/>
      <c r="O242" s="256" t="s">
        <v>1133</v>
      </c>
      <c r="P242" s="182"/>
      <c r="Q242" s="182"/>
      <c r="R242" s="182"/>
      <c r="S242" s="182"/>
    </row>
    <row r="243" spans="1:19" x14ac:dyDescent="0.2">
      <c r="A243" s="188"/>
      <c r="B243" s="189"/>
      <c r="C243" s="84"/>
      <c r="D243" s="187" t="s">
        <v>1133</v>
      </c>
      <c r="G243" s="182"/>
      <c r="H243" s="198"/>
      <c r="I243" s="199" t="s">
        <v>1130</v>
      </c>
      <c r="J243" s="240"/>
      <c r="K243" s="257" t="s">
        <v>1091</v>
      </c>
      <c r="L243" s="240"/>
      <c r="M243" s="240"/>
      <c r="N243" s="240"/>
      <c r="O243" s="256" t="s">
        <v>1133</v>
      </c>
      <c r="P243" s="182"/>
      <c r="Q243" s="182"/>
      <c r="R243" s="182"/>
      <c r="S243" s="182"/>
    </row>
    <row r="244" spans="1:19" x14ac:dyDescent="0.2">
      <c r="A244" s="188"/>
      <c r="B244" s="189"/>
      <c r="C244" s="84"/>
      <c r="D244" s="187" t="s">
        <v>1133</v>
      </c>
      <c r="G244" s="182"/>
      <c r="H244" s="198"/>
      <c r="I244" s="199" t="s">
        <v>1134</v>
      </c>
      <c r="J244" s="240"/>
      <c r="K244" s="257" t="s">
        <v>1139</v>
      </c>
      <c r="L244" s="240"/>
      <c r="M244" s="240"/>
      <c r="N244" s="240"/>
      <c r="O244" s="256" t="s">
        <v>1133</v>
      </c>
      <c r="P244" s="182"/>
      <c r="Q244" s="182"/>
      <c r="R244" s="182"/>
      <c r="S244" s="182"/>
    </row>
    <row r="245" spans="1:19" ht="15.75" thickBot="1" x14ac:dyDescent="0.25">
      <c r="A245" s="188"/>
      <c r="B245" s="189"/>
      <c r="C245" s="84"/>
      <c r="D245" s="187" t="s">
        <v>1133</v>
      </c>
      <c r="G245" s="182"/>
      <c r="H245" s="213"/>
      <c r="I245" s="225" t="s">
        <v>1137</v>
      </c>
      <c r="J245" s="228"/>
      <c r="K245" s="259" t="s">
        <v>1324</v>
      </c>
      <c r="L245" s="228"/>
      <c r="M245" s="228"/>
      <c r="N245" s="228"/>
      <c r="O245" s="260" t="s">
        <v>1133</v>
      </c>
      <c r="P245" s="182"/>
      <c r="Q245" s="182"/>
      <c r="R245" s="182"/>
      <c r="S245" s="182"/>
    </row>
    <row r="246" spans="1:19" ht="15.75" thickTop="1" x14ac:dyDescent="0.2">
      <c r="A246" s="188">
        <v>24</v>
      </c>
      <c r="B246" s="181" t="s">
        <v>1325</v>
      </c>
      <c r="C246" s="84" t="s">
        <v>1326</v>
      </c>
      <c r="D246" s="187"/>
      <c r="G246" s="182"/>
      <c r="H246" s="265">
        <v>24</v>
      </c>
      <c r="I246" s="221"/>
      <c r="J246" s="270"/>
      <c r="K246" s="271" t="s">
        <v>1326</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1216</v>
      </c>
      <c r="G247" s="182"/>
      <c r="H247" s="198"/>
      <c r="I247" s="199" t="s">
        <v>1022</v>
      </c>
      <c r="J247" s="240"/>
      <c r="K247" s="257" t="s">
        <v>1327</v>
      </c>
      <c r="L247" s="240"/>
      <c r="M247" s="240"/>
      <c r="N247" s="240"/>
      <c r="O247" s="256" t="s">
        <v>1216</v>
      </c>
      <c r="P247" s="182"/>
      <c r="Q247" s="182"/>
      <c r="R247" s="182"/>
      <c r="S247" s="182"/>
    </row>
    <row r="248" spans="1:19" x14ac:dyDescent="0.2">
      <c r="A248" s="188"/>
      <c r="B248" s="181"/>
      <c r="C248" s="206"/>
      <c r="D248" s="187" t="s">
        <v>1133</v>
      </c>
      <c r="G248" s="182"/>
      <c r="H248" s="198"/>
      <c r="I248" s="199" t="s">
        <v>1049</v>
      </c>
      <c r="J248" s="240"/>
      <c r="K248" s="257" t="s">
        <v>1328</v>
      </c>
      <c r="L248" s="240"/>
      <c r="M248" s="240"/>
      <c r="N248" s="240"/>
      <c r="O248" s="256" t="s">
        <v>1133</v>
      </c>
      <c r="P248" s="182"/>
      <c r="Q248" s="182"/>
      <c r="R248" s="182"/>
      <c r="S248" s="182"/>
    </row>
    <row r="249" spans="1:19" x14ac:dyDescent="0.2">
      <c r="A249" s="188"/>
      <c r="B249" s="189"/>
      <c r="C249" s="84"/>
      <c r="D249" s="187" t="s">
        <v>1133</v>
      </c>
      <c r="G249" s="182"/>
      <c r="H249" s="198"/>
      <c r="I249" s="207" t="s">
        <v>1059</v>
      </c>
      <c r="J249" s="208"/>
      <c r="K249" s="209" t="s">
        <v>1329</v>
      </c>
      <c r="L249" s="208"/>
      <c r="M249" s="208"/>
      <c r="N249" s="208"/>
      <c r="O249" s="252" t="s">
        <v>1133</v>
      </c>
      <c r="P249" s="182"/>
      <c r="Q249" s="182"/>
      <c r="R249" s="182"/>
      <c r="S249" s="182"/>
    </row>
    <row r="250" spans="1:19" x14ac:dyDescent="0.2">
      <c r="A250" s="188"/>
      <c r="B250" s="189"/>
      <c r="C250" s="84"/>
      <c r="D250" s="187" t="s">
        <v>1133</v>
      </c>
      <c r="G250" s="182"/>
      <c r="H250" s="198"/>
      <c r="I250" s="199" t="s">
        <v>1085</v>
      </c>
      <c r="J250" s="240"/>
      <c r="K250" s="257" t="s">
        <v>1330</v>
      </c>
      <c r="L250" s="240"/>
      <c r="M250" s="240"/>
      <c r="N250" s="240"/>
      <c r="O250" s="256" t="s">
        <v>1133</v>
      </c>
      <c r="P250" s="182"/>
      <c r="Q250" s="182"/>
      <c r="R250" s="182"/>
      <c r="S250" s="182"/>
    </row>
    <row r="251" spans="1:19" ht="15.75" thickBot="1" x14ac:dyDescent="0.25">
      <c r="A251" s="188"/>
      <c r="B251" s="189"/>
      <c r="C251" s="84"/>
      <c r="D251" s="187" t="s">
        <v>997</v>
      </c>
      <c r="G251" s="182"/>
      <c r="H251" s="244"/>
      <c r="I251" s="279" t="s">
        <v>1127</v>
      </c>
      <c r="J251" s="296"/>
      <c r="K251" s="297" t="s">
        <v>1331</v>
      </c>
      <c r="L251" s="296"/>
      <c r="M251" s="296"/>
      <c r="N251" s="296"/>
      <c r="O251" s="298" t="s">
        <v>997</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1332</v>
      </c>
      <c r="C253" s="178" t="s">
        <v>1333</v>
      </c>
      <c r="D253" s="187"/>
      <c r="G253" s="182"/>
      <c r="H253" s="220">
        <v>25</v>
      </c>
      <c r="I253" s="222"/>
      <c r="J253" s="232"/>
      <c r="K253" s="277" t="s">
        <v>1333</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1022</v>
      </c>
      <c r="J254" s="202"/>
      <c r="K254" s="211" t="s">
        <v>1246</v>
      </c>
      <c r="L254" s="202"/>
      <c r="M254" s="202"/>
      <c r="N254" s="202"/>
      <c r="O254" s="243"/>
      <c r="P254" s="182"/>
      <c r="Q254" s="182"/>
      <c r="R254" s="182"/>
      <c r="S254" s="182"/>
    </row>
    <row r="255" spans="1:19" x14ac:dyDescent="0.2">
      <c r="A255" s="188"/>
      <c r="B255" s="178"/>
      <c r="C255" s="178"/>
      <c r="D255" s="187" t="s">
        <v>1258</v>
      </c>
      <c r="G255" s="182"/>
      <c r="H255" s="198"/>
      <c r="I255" s="187"/>
      <c r="J255" s="204">
        <v>1</v>
      </c>
      <c r="K255" s="182"/>
      <c r="L255" s="197" t="s">
        <v>1334</v>
      </c>
      <c r="M255" s="182"/>
      <c r="N255" s="182"/>
      <c r="O255" s="234" t="s">
        <v>1258</v>
      </c>
      <c r="P255" s="182"/>
      <c r="Q255" s="182"/>
      <c r="R255" s="182"/>
      <c r="S255" s="182"/>
    </row>
    <row r="256" spans="1:19" x14ac:dyDescent="0.2">
      <c r="A256" s="188"/>
      <c r="B256" s="178"/>
      <c r="C256" s="178"/>
      <c r="D256" s="187" t="s">
        <v>1258</v>
      </c>
      <c r="G256" s="182"/>
      <c r="H256" s="198"/>
      <c r="I256" s="187"/>
      <c r="J256" s="207">
        <v>2</v>
      </c>
      <c r="K256" s="208"/>
      <c r="L256" s="209" t="s">
        <v>1335</v>
      </c>
      <c r="M256" s="208"/>
      <c r="N256" s="208"/>
      <c r="O256" s="252" t="s">
        <v>1258</v>
      </c>
      <c r="P256" s="182"/>
      <c r="Q256" s="182"/>
      <c r="R256" s="182"/>
      <c r="S256" s="182"/>
    </row>
    <row r="257" spans="1:19" x14ac:dyDescent="0.2">
      <c r="A257" s="188"/>
      <c r="B257" s="178"/>
      <c r="C257" s="178"/>
      <c r="D257" s="187"/>
      <c r="G257" s="182"/>
      <c r="H257" s="198"/>
      <c r="I257" s="199" t="s">
        <v>1049</v>
      </c>
      <c r="J257" s="182"/>
      <c r="K257" s="197" t="s">
        <v>1247</v>
      </c>
      <c r="L257" s="182"/>
      <c r="M257" s="182"/>
      <c r="N257" s="182"/>
      <c r="O257" s="234"/>
      <c r="P257" s="182"/>
      <c r="Q257" s="182"/>
      <c r="R257" s="182"/>
      <c r="S257" s="182"/>
    </row>
    <row r="258" spans="1:19" x14ac:dyDescent="0.2">
      <c r="A258" s="188"/>
      <c r="B258" s="178"/>
      <c r="C258" s="178"/>
      <c r="D258" s="187" t="s">
        <v>1258</v>
      </c>
      <c r="G258" s="182"/>
      <c r="H258" s="198"/>
      <c r="I258" s="187"/>
      <c r="J258" s="204">
        <v>1</v>
      </c>
      <c r="K258" s="182"/>
      <c r="L258" s="197" t="s">
        <v>1336</v>
      </c>
      <c r="M258" s="182"/>
      <c r="N258" s="182"/>
      <c r="O258" s="234" t="s">
        <v>1258</v>
      </c>
      <c r="P258" s="182"/>
      <c r="Q258" s="182"/>
      <c r="R258" s="182"/>
      <c r="S258" s="182"/>
    </row>
    <row r="259" spans="1:19" x14ac:dyDescent="0.2">
      <c r="A259" s="188"/>
      <c r="B259" s="178"/>
      <c r="C259" s="178"/>
      <c r="D259" s="187" t="s">
        <v>1258</v>
      </c>
      <c r="G259" s="182"/>
      <c r="H259" s="198"/>
      <c r="I259" s="187"/>
      <c r="J259" s="204">
        <v>2</v>
      </c>
      <c r="K259" s="182"/>
      <c r="L259" s="197" t="s">
        <v>1337</v>
      </c>
      <c r="M259" s="182"/>
      <c r="N259" s="182"/>
      <c r="O259" s="234" t="s">
        <v>1258</v>
      </c>
      <c r="P259" s="182"/>
      <c r="Q259" s="182"/>
      <c r="R259" s="182"/>
      <c r="S259" s="182"/>
    </row>
    <row r="260" spans="1:19" x14ac:dyDescent="0.2">
      <c r="A260" s="188"/>
      <c r="B260" s="178"/>
      <c r="C260" s="178"/>
      <c r="D260" s="187" t="s">
        <v>997</v>
      </c>
      <c r="G260" s="182"/>
      <c r="H260" s="198"/>
      <c r="I260" s="199" t="s">
        <v>1059</v>
      </c>
      <c r="J260" s="240"/>
      <c r="K260" s="257" t="s">
        <v>1141</v>
      </c>
      <c r="L260" s="240"/>
      <c r="M260" s="240"/>
      <c r="N260" s="240"/>
      <c r="O260" s="256" t="s">
        <v>997</v>
      </c>
      <c r="P260" s="182"/>
      <c r="Q260" s="182"/>
      <c r="R260" s="182"/>
      <c r="S260" s="182"/>
    </row>
    <row r="261" spans="1:19" ht="15.75" thickBot="1" x14ac:dyDescent="0.25">
      <c r="A261" s="188"/>
      <c r="B261" s="178"/>
      <c r="C261" s="178"/>
      <c r="D261" s="187" t="s">
        <v>997</v>
      </c>
      <c r="G261" s="182"/>
      <c r="H261" s="213"/>
      <c r="I261" s="225" t="s">
        <v>1085</v>
      </c>
      <c r="J261" s="228"/>
      <c r="K261" s="259" t="s">
        <v>1139</v>
      </c>
      <c r="L261" s="228"/>
      <c r="M261" s="228"/>
      <c r="N261" s="228"/>
      <c r="O261" s="260" t="s">
        <v>997</v>
      </c>
      <c r="P261" s="182"/>
      <c r="Q261" s="182"/>
      <c r="R261" s="182"/>
      <c r="S261" s="182"/>
    </row>
    <row r="262" spans="1:19" ht="15.75" thickTop="1" x14ac:dyDescent="0.2">
      <c r="A262" s="188">
        <v>26</v>
      </c>
      <c r="B262" s="178" t="s">
        <v>1338</v>
      </c>
      <c r="C262" s="178" t="s">
        <v>1339</v>
      </c>
      <c r="D262" s="187"/>
      <c r="G262" s="182"/>
      <c r="H262" s="265">
        <v>26</v>
      </c>
      <c r="I262" s="221"/>
      <c r="J262" s="270"/>
      <c r="K262" s="271" t="s">
        <v>1339</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1216</v>
      </c>
      <c r="G263" s="182"/>
      <c r="H263" s="198"/>
      <c r="I263" s="199" t="s">
        <v>1022</v>
      </c>
      <c r="J263" s="240"/>
      <c r="K263" s="257" t="s">
        <v>1264</v>
      </c>
      <c r="L263" s="240"/>
      <c r="M263" s="240"/>
      <c r="N263" s="240"/>
      <c r="O263" s="256" t="s">
        <v>1216</v>
      </c>
      <c r="P263" s="182"/>
      <c r="Q263" s="182"/>
      <c r="R263" s="182"/>
      <c r="S263" s="182"/>
    </row>
    <row r="264" spans="1:19" ht="15.75" thickBot="1" x14ac:dyDescent="0.25">
      <c r="A264" s="188"/>
      <c r="B264" s="178"/>
      <c r="C264" s="178"/>
      <c r="D264" s="187" t="s">
        <v>5</v>
      </c>
      <c r="G264" s="182"/>
      <c r="H264" s="213"/>
      <c r="I264" s="225" t="s">
        <v>1049</v>
      </c>
      <c r="J264" s="228"/>
      <c r="K264" s="259" t="s">
        <v>1340</v>
      </c>
      <c r="L264" s="228"/>
      <c r="M264" s="228"/>
      <c r="N264" s="228"/>
      <c r="O264" s="260" t="s">
        <v>5</v>
      </c>
      <c r="P264" s="182"/>
      <c r="Q264" s="182"/>
      <c r="R264" s="182"/>
      <c r="S264" s="182"/>
    </row>
    <row r="265" spans="1:19" ht="15.75" thickTop="1" x14ac:dyDescent="0.2">
      <c r="A265" s="188">
        <v>27</v>
      </c>
      <c r="B265" s="178" t="s">
        <v>1341</v>
      </c>
      <c r="C265" s="178" t="s">
        <v>1342</v>
      </c>
      <c r="D265" s="187"/>
      <c r="G265" s="182"/>
      <c r="H265" s="220">
        <v>27</v>
      </c>
      <c r="I265" s="222"/>
      <c r="J265" s="232"/>
      <c r="K265" s="277" t="s">
        <v>1342</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1250</v>
      </c>
      <c r="G266" s="182"/>
      <c r="H266" s="198"/>
      <c r="I266" s="199" t="s">
        <v>1022</v>
      </c>
      <c r="J266" s="240"/>
      <c r="K266" s="257" t="s">
        <v>1343</v>
      </c>
      <c r="L266" s="240"/>
      <c r="M266" s="240"/>
      <c r="N266" s="240"/>
      <c r="O266" s="256" t="s">
        <v>1250</v>
      </c>
      <c r="P266" s="182"/>
      <c r="Q266" s="182"/>
      <c r="R266" s="182"/>
      <c r="S266" s="182"/>
    </row>
    <row r="267" spans="1:19" x14ac:dyDescent="0.2">
      <c r="A267" s="188"/>
      <c r="B267" s="178"/>
      <c r="C267" s="178"/>
      <c r="D267" s="187" t="s">
        <v>1250</v>
      </c>
      <c r="G267" s="182"/>
      <c r="H267" s="198"/>
      <c r="I267" s="199" t="s">
        <v>1049</v>
      </c>
      <c r="J267" s="240"/>
      <c r="K267" s="257" t="s">
        <v>1344</v>
      </c>
      <c r="L267" s="240"/>
      <c r="M267" s="240"/>
      <c r="N267" s="240"/>
      <c r="O267" s="256" t="s">
        <v>1250</v>
      </c>
      <c r="P267" s="182"/>
      <c r="Q267" s="182"/>
      <c r="R267" s="182"/>
      <c r="S267" s="182"/>
    </row>
    <row r="268" spans="1:19" x14ac:dyDescent="0.2">
      <c r="A268" s="188"/>
      <c r="B268" s="178"/>
      <c r="C268" s="178"/>
      <c r="D268" s="187"/>
      <c r="G268" s="182"/>
      <c r="H268" s="198"/>
      <c r="I268" s="199" t="s">
        <v>1059</v>
      </c>
      <c r="J268" s="182"/>
      <c r="K268" s="197" t="s">
        <v>1345</v>
      </c>
      <c r="L268" s="182"/>
      <c r="M268" s="182"/>
      <c r="N268" s="182"/>
      <c r="O268" s="234"/>
      <c r="P268" s="182"/>
      <c r="Q268" s="182"/>
      <c r="R268" s="182"/>
      <c r="S268" s="182"/>
    </row>
    <row r="269" spans="1:19" x14ac:dyDescent="0.2">
      <c r="A269" s="188"/>
      <c r="B269" s="178"/>
      <c r="C269" s="178"/>
      <c r="D269" s="187" t="s">
        <v>1250</v>
      </c>
      <c r="G269" s="182"/>
      <c r="H269" s="198"/>
      <c r="I269" s="187"/>
      <c r="J269" s="204">
        <v>1</v>
      </c>
      <c r="K269" s="182"/>
      <c r="L269" s="197" t="s">
        <v>1251</v>
      </c>
      <c r="M269" s="182"/>
      <c r="N269" s="182"/>
      <c r="O269" s="234" t="s">
        <v>1250</v>
      </c>
      <c r="P269" s="182"/>
      <c r="Q269" s="182"/>
      <c r="R269" s="182"/>
      <c r="S269" s="182"/>
    </row>
    <row r="270" spans="1:19" x14ac:dyDescent="0.2">
      <c r="A270" s="188"/>
      <c r="B270" s="178"/>
      <c r="C270" s="178"/>
      <c r="D270" s="187" t="s">
        <v>1250</v>
      </c>
      <c r="G270" s="182"/>
      <c r="H270" s="198"/>
      <c r="I270" s="187"/>
      <c r="J270" s="207">
        <v>2</v>
      </c>
      <c r="K270" s="182"/>
      <c r="L270" s="197" t="s">
        <v>1254</v>
      </c>
      <c r="M270" s="182"/>
      <c r="N270" s="182"/>
      <c r="O270" s="234" t="s">
        <v>1250</v>
      </c>
      <c r="P270" s="182"/>
      <c r="Q270" s="182"/>
      <c r="R270" s="182"/>
      <c r="S270" s="182"/>
    </row>
    <row r="271" spans="1:19" x14ac:dyDescent="0.2">
      <c r="A271" s="188"/>
      <c r="B271" s="178"/>
      <c r="C271" s="178"/>
      <c r="D271" s="187" t="s">
        <v>1250</v>
      </c>
      <c r="G271" s="182"/>
      <c r="H271" s="198"/>
      <c r="I271" s="199" t="s">
        <v>1085</v>
      </c>
      <c r="J271" s="240"/>
      <c r="K271" s="257" t="s">
        <v>1141</v>
      </c>
      <c r="L271" s="240"/>
      <c r="M271" s="240"/>
      <c r="N271" s="240"/>
      <c r="O271" s="256" t="s">
        <v>1250</v>
      </c>
      <c r="P271" s="182"/>
      <c r="Q271" s="182"/>
      <c r="R271" s="182"/>
      <c r="S271" s="182"/>
    </row>
    <row r="272" spans="1:19" x14ac:dyDescent="0.2">
      <c r="A272" s="188"/>
      <c r="B272" s="178"/>
      <c r="C272" s="178"/>
      <c r="D272" s="187" t="s">
        <v>1250</v>
      </c>
      <c r="G272" s="182"/>
      <c r="H272" s="198"/>
      <c r="I272" s="207" t="s">
        <v>1127</v>
      </c>
      <c r="J272" s="208"/>
      <c r="K272" s="209" t="s">
        <v>1139</v>
      </c>
      <c r="L272" s="208"/>
      <c r="M272" s="208"/>
      <c r="N272" s="208"/>
      <c r="O272" s="252" t="s">
        <v>1250</v>
      </c>
      <c r="P272" s="182"/>
      <c r="Q272" s="182"/>
      <c r="R272" s="182"/>
      <c r="S272" s="182"/>
    </row>
    <row r="273" spans="1:19" ht="15.75" thickBot="1" x14ac:dyDescent="0.25">
      <c r="A273" s="188"/>
      <c r="B273" s="178"/>
      <c r="C273" s="178"/>
      <c r="D273" s="187" t="s">
        <v>1250</v>
      </c>
      <c r="G273" s="182"/>
      <c r="H273" s="198"/>
      <c r="I273" s="199" t="s">
        <v>1130</v>
      </c>
      <c r="J273" s="240"/>
      <c r="K273" s="257" t="s">
        <v>1136</v>
      </c>
      <c r="L273" s="240"/>
      <c r="M273" s="240"/>
      <c r="N273" s="240"/>
      <c r="O273" s="256" t="s">
        <v>1250</v>
      </c>
      <c r="P273" s="182"/>
      <c r="Q273" s="182"/>
      <c r="R273" s="182"/>
      <c r="S273" s="182"/>
    </row>
    <row r="274" spans="1:19" ht="16.5" thickTop="1" thickBot="1" x14ac:dyDescent="0.25">
      <c r="A274" s="188">
        <v>28</v>
      </c>
      <c r="B274" s="178" t="s">
        <v>1346</v>
      </c>
      <c r="C274" s="178" t="s">
        <v>1347</v>
      </c>
      <c r="D274" s="187" t="s">
        <v>998</v>
      </c>
      <c r="G274" s="182"/>
      <c r="H274" s="265">
        <v>28</v>
      </c>
      <c r="I274" s="221"/>
      <c r="J274" s="270"/>
      <c r="K274" s="271" t="s">
        <v>1347</v>
      </c>
      <c r="L274" s="270"/>
      <c r="M274" s="270"/>
      <c r="N274" s="270"/>
      <c r="O274" s="223" t="s">
        <v>998</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1348</v>
      </c>
      <c r="C275" s="178" t="s">
        <v>1349</v>
      </c>
      <c r="D275" s="187" t="s">
        <v>1133</v>
      </c>
      <c r="G275" s="182"/>
      <c r="H275" s="265">
        <v>29</v>
      </c>
      <c r="I275" s="221"/>
      <c r="J275" s="270"/>
      <c r="K275" s="271" t="s">
        <v>1349</v>
      </c>
      <c r="L275" s="270"/>
      <c r="M275" s="270"/>
      <c r="N275" s="270"/>
      <c r="O275" s="223" t="s">
        <v>1133</v>
      </c>
      <c r="P275" s="182"/>
      <c r="Q275" s="196">
        <f t="shared" si="39"/>
        <v>29</v>
      </c>
      <c r="R275" s="187" t="str">
        <f t="shared" si="40"/>
        <v>II-0029</v>
      </c>
      <c r="S275" s="197" t="str">
        <f t="shared" si="41"/>
        <v>DESCARGA</v>
      </c>
    </row>
    <row r="276" spans="1:19" ht="16.5" thickTop="1" thickBot="1" x14ac:dyDescent="0.25">
      <c r="A276" s="188">
        <v>30</v>
      </c>
      <c r="B276" s="178" t="s">
        <v>1350</v>
      </c>
      <c r="C276" s="178" t="s">
        <v>1351</v>
      </c>
      <c r="D276" s="187" t="s">
        <v>1133</v>
      </c>
      <c r="G276" s="182"/>
      <c r="H276" s="291">
        <v>30</v>
      </c>
      <c r="I276" s="292"/>
      <c r="J276" s="293"/>
      <c r="K276" s="294" t="s">
        <v>1351</v>
      </c>
      <c r="L276" s="293"/>
      <c r="M276" s="293"/>
      <c r="N276" s="293"/>
      <c r="O276" s="295" t="s">
        <v>1133</v>
      </c>
      <c r="P276" s="182"/>
      <c r="Q276" s="196">
        <f t="shared" si="39"/>
        <v>30</v>
      </c>
      <c r="R276" s="187" t="str">
        <f t="shared" si="40"/>
        <v>II-0030</v>
      </c>
      <c r="S276" s="197" t="str">
        <f t="shared" si="41"/>
        <v>DESEMBARRO P/ SANEAMIENTO</v>
      </c>
    </row>
    <row r="277" spans="1:19" ht="16.5" thickTop="1" thickBot="1" x14ac:dyDescent="0.25">
      <c r="A277" s="188">
        <v>31</v>
      </c>
      <c r="B277" s="178" t="s">
        <v>1352</v>
      </c>
      <c r="C277" s="178" t="s">
        <v>1353</v>
      </c>
      <c r="D277" s="187" t="s">
        <v>998</v>
      </c>
      <c r="G277" s="182"/>
      <c r="H277" s="291">
        <v>31</v>
      </c>
      <c r="I277" s="292"/>
      <c r="J277" s="293"/>
      <c r="K277" s="294" t="s">
        <v>1353</v>
      </c>
      <c r="L277" s="293"/>
      <c r="M277" s="293"/>
      <c r="N277" s="293"/>
      <c r="O277" s="295" t="s">
        <v>998</v>
      </c>
      <c r="P277" s="182"/>
      <c r="Q277" s="196">
        <f t="shared" si="39"/>
        <v>31</v>
      </c>
      <c r="R277" s="187" t="str">
        <f t="shared" si="40"/>
        <v>II-0031</v>
      </c>
      <c r="S277" s="197" t="str">
        <f t="shared" si="41"/>
        <v>DESPEDRADO DE LADERAS</v>
      </c>
    </row>
    <row r="278" spans="1:19" ht="16.5" thickTop="1" thickBot="1" x14ac:dyDescent="0.25">
      <c r="A278" s="188">
        <v>32</v>
      </c>
      <c r="B278" s="178" t="s">
        <v>1354</v>
      </c>
      <c r="C278" s="178" t="s">
        <v>1355</v>
      </c>
      <c r="D278" s="187" t="s">
        <v>5</v>
      </c>
      <c r="G278" s="182"/>
      <c r="H278" s="291">
        <v>32</v>
      </c>
      <c r="I278" s="292"/>
      <c r="J278" s="293"/>
      <c r="K278" s="294" t="s">
        <v>1355</v>
      </c>
      <c r="L278" s="293"/>
      <c r="M278" s="293"/>
      <c r="N278" s="293"/>
      <c r="O278" s="295" t="s">
        <v>5</v>
      </c>
      <c r="P278" s="182"/>
      <c r="Q278" s="196">
        <f t="shared" si="39"/>
        <v>32</v>
      </c>
      <c r="R278" s="187" t="str">
        <f t="shared" si="40"/>
        <v>II-0032</v>
      </c>
      <c r="S278" s="197" t="str">
        <f t="shared" si="41"/>
        <v>DESVIO</v>
      </c>
    </row>
    <row r="279" spans="1:19" ht="15.75" thickTop="1" x14ac:dyDescent="0.2">
      <c r="A279" s="188">
        <v>33</v>
      </c>
      <c r="B279" s="178" t="s">
        <v>1356</v>
      </c>
      <c r="C279" s="178" t="s">
        <v>1357</v>
      </c>
      <c r="D279" s="187"/>
      <c r="G279" s="182"/>
      <c r="H279" s="220">
        <v>33</v>
      </c>
      <c r="I279" s="222"/>
      <c r="J279" s="232"/>
      <c r="K279" s="277" t="s">
        <v>1357</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1022</v>
      </c>
      <c r="J280" s="187"/>
      <c r="K280" s="197" t="s">
        <v>1358</v>
      </c>
      <c r="L280" s="182"/>
      <c r="M280" s="182"/>
      <c r="N280" s="182"/>
      <c r="O280" s="234"/>
      <c r="P280" s="182"/>
      <c r="Q280" s="182"/>
      <c r="R280" s="182"/>
      <c r="S280" s="182"/>
    </row>
    <row r="281" spans="1:19" x14ac:dyDescent="0.2">
      <c r="A281" s="188"/>
      <c r="B281" s="178"/>
      <c r="C281" s="178"/>
      <c r="D281" s="187" t="s">
        <v>1216</v>
      </c>
      <c r="G281" s="182"/>
      <c r="H281" s="198"/>
      <c r="I281" s="187"/>
      <c r="J281" s="204">
        <v>1</v>
      </c>
      <c r="K281" s="182"/>
      <c r="L281" s="197" t="s">
        <v>1359</v>
      </c>
      <c r="M281" s="182"/>
      <c r="N281" s="182"/>
      <c r="O281" s="234" t="s">
        <v>1216</v>
      </c>
      <c r="P281" s="182"/>
      <c r="Q281" s="182"/>
      <c r="R281" s="182"/>
      <c r="S281" s="182"/>
    </row>
    <row r="282" spans="1:19" x14ac:dyDescent="0.2">
      <c r="A282" s="188"/>
      <c r="B282" s="178"/>
      <c r="C282" s="178"/>
      <c r="D282" s="187" t="s">
        <v>1133</v>
      </c>
      <c r="G282" s="182"/>
      <c r="H282" s="198"/>
      <c r="I282" s="187"/>
      <c r="J282" s="204">
        <v>2</v>
      </c>
      <c r="K282" s="182"/>
      <c r="L282" s="197" t="s">
        <v>1360</v>
      </c>
      <c r="M282" s="182"/>
      <c r="N282" s="182"/>
      <c r="O282" s="234" t="s">
        <v>1133</v>
      </c>
      <c r="P282" s="182"/>
      <c r="Q282" s="182"/>
      <c r="R282" s="182"/>
      <c r="S282" s="182"/>
    </row>
    <row r="283" spans="1:19" x14ac:dyDescent="0.2">
      <c r="A283" s="188"/>
      <c r="B283" s="178"/>
      <c r="C283" s="178"/>
      <c r="D283" s="187" t="s">
        <v>997</v>
      </c>
      <c r="G283" s="182"/>
      <c r="H283" s="198"/>
      <c r="I283" s="212"/>
      <c r="J283" s="207">
        <v>3</v>
      </c>
      <c r="K283" s="208"/>
      <c r="L283" s="209" t="s">
        <v>1361</v>
      </c>
      <c r="M283" s="208"/>
      <c r="N283" s="208"/>
      <c r="O283" s="252" t="s">
        <v>997</v>
      </c>
      <c r="P283" s="182"/>
      <c r="Q283" s="182"/>
      <c r="R283" s="182"/>
      <c r="S283" s="182"/>
    </row>
    <row r="284" spans="1:19" x14ac:dyDescent="0.2">
      <c r="A284" s="188"/>
      <c r="B284" s="178"/>
      <c r="C284" s="178"/>
      <c r="D284" s="187"/>
      <c r="G284" s="182"/>
      <c r="H284" s="198"/>
      <c r="I284" s="207" t="s">
        <v>1049</v>
      </c>
      <c r="J284" s="187"/>
      <c r="K284" s="197" t="s">
        <v>1362</v>
      </c>
      <c r="L284" s="182"/>
      <c r="M284" s="182"/>
      <c r="N284" s="182"/>
      <c r="O284" s="234"/>
      <c r="P284" s="182"/>
      <c r="Q284" s="182"/>
      <c r="R284" s="182"/>
      <c r="S284" s="182"/>
    </row>
    <row r="285" spans="1:19" x14ac:dyDescent="0.2">
      <c r="A285" s="188"/>
      <c r="B285" s="178"/>
      <c r="C285" s="178"/>
      <c r="D285" s="187" t="s">
        <v>1216</v>
      </c>
      <c r="G285" s="182"/>
      <c r="H285" s="198"/>
      <c r="I285" s="187"/>
      <c r="J285" s="204">
        <v>1</v>
      </c>
      <c r="K285" s="182"/>
      <c r="L285" s="197" t="s">
        <v>1359</v>
      </c>
      <c r="M285" s="182"/>
      <c r="N285" s="182"/>
      <c r="O285" s="234" t="s">
        <v>1216</v>
      </c>
      <c r="P285" s="182"/>
      <c r="Q285" s="182"/>
      <c r="R285" s="182"/>
      <c r="S285" s="182"/>
    </row>
    <row r="286" spans="1:19" x14ac:dyDescent="0.2">
      <c r="A286" s="188"/>
      <c r="B286" s="178"/>
      <c r="C286" s="178"/>
      <c r="D286" s="187" t="s">
        <v>1133</v>
      </c>
      <c r="G286" s="182"/>
      <c r="H286" s="198"/>
      <c r="I286" s="187"/>
      <c r="J286" s="204">
        <v>2</v>
      </c>
      <c r="K286" s="182"/>
      <c r="L286" s="197" t="s">
        <v>1360</v>
      </c>
      <c r="M286" s="182"/>
      <c r="N286" s="182"/>
      <c r="O286" s="234" t="s">
        <v>1133</v>
      </c>
      <c r="P286" s="182"/>
      <c r="Q286" s="182"/>
      <c r="R286" s="182"/>
      <c r="S286" s="182"/>
    </row>
    <row r="287" spans="1:19" x14ac:dyDescent="0.2">
      <c r="A287" s="188"/>
      <c r="B287" s="178"/>
      <c r="C287" s="178"/>
      <c r="D287" s="187" t="s">
        <v>997</v>
      </c>
      <c r="G287" s="182"/>
      <c r="H287" s="198"/>
      <c r="I287" s="212"/>
      <c r="J287" s="207">
        <v>3</v>
      </c>
      <c r="K287" s="208"/>
      <c r="L287" s="209" t="s">
        <v>1361</v>
      </c>
      <c r="M287" s="208"/>
      <c r="N287" s="208"/>
      <c r="O287" s="252" t="s">
        <v>997</v>
      </c>
      <c r="P287" s="182"/>
      <c r="Q287" s="182"/>
      <c r="R287" s="182"/>
      <c r="S287" s="182"/>
    </row>
    <row r="288" spans="1:19" x14ac:dyDescent="0.2">
      <c r="A288" s="188"/>
      <c r="B288" s="178"/>
      <c r="C288" s="178"/>
      <c r="D288" s="187"/>
      <c r="G288" s="182"/>
      <c r="H288" s="198"/>
      <c r="I288" s="207" t="s">
        <v>1059</v>
      </c>
      <c r="J288" s="187"/>
      <c r="K288" s="197" t="s">
        <v>1363</v>
      </c>
      <c r="L288" s="182"/>
      <c r="M288" s="182"/>
      <c r="N288" s="182"/>
      <c r="O288" s="234"/>
      <c r="P288" s="182"/>
      <c r="Q288" s="182"/>
      <c r="R288" s="182"/>
      <c r="S288" s="182"/>
    </row>
    <row r="289" spans="1:19" x14ac:dyDescent="0.2">
      <c r="A289" s="188"/>
      <c r="B289" s="178"/>
      <c r="C289" s="178"/>
      <c r="D289" s="187" t="s">
        <v>1258</v>
      </c>
      <c r="G289" s="182"/>
      <c r="H289" s="198"/>
      <c r="I289" s="187"/>
      <c r="J289" s="204">
        <v>1</v>
      </c>
      <c r="K289" s="182"/>
      <c r="L289" s="197" t="s">
        <v>1364</v>
      </c>
      <c r="M289" s="182"/>
      <c r="N289" s="182"/>
      <c r="O289" s="234" t="s">
        <v>1258</v>
      </c>
      <c r="P289" s="182"/>
      <c r="Q289" s="182"/>
      <c r="R289" s="182"/>
      <c r="S289" s="182"/>
    </row>
    <row r="290" spans="1:19" x14ac:dyDescent="0.2">
      <c r="A290" s="188"/>
      <c r="B290" s="178"/>
      <c r="C290" s="178"/>
      <c r="D290" s="187" t="s">
        <v>1258</v>
      </c>
      <c r="G290" s="182"/>
      <c r="H290" s="198"/>
      <c r="I290" s="199" t="s">
        <v>1085</v>
      </c>
      <c r="J290" s="240"/>
      <c r="K290" s="257" t="s">
        <v>1091</v>
      </c>
      <c r="L290" s="240"/>
      <c r="M290" s="240"/>
      <c r="N290" s="240"/>
      <c r="O290" s="256" t="s">
        <v>1258</v>
      </c>
      <c r="P290" s="182"/>
      <c r="Q290" s="182"/>
      <c r="R290" s="182"/>
      <c r="S290" s="182"/>
    </row>
    <row r="291" spans="1:19" ht="15.75" thickBot="1" x14ac:dyDescent="0.25">
      <c r="A291" s="188"/>
      <c r="B291" s="178"/>
      <c r="C291" s="178"/>
      <c r="D291" s="187" t="s">
        <v>1258</v>
      </c>
      <c r="G291" s="182"/>
      <c r="H291" s="198"/>
      <c r="I291" s="225" t="s">
        <v>1127</v>
      </c>
      <c r="J291" s="182"/>
      <c r="K291" s="197" t="s">
        <v>1139</v>
      </c>
      <c r="L291" s="182"/>
      <c r="M291" s="182"/>
      <c r="N291" s="182"/>
      <c r="O291" s="234" t="s">
        <v>1258</v>
      </c>
      <c r="P291" s="182"/>
      <c r="Q291" s="182"/>
      <c r="R291" s="182"/>
      <c r="S291" s="182"/>
    </row>
    <row r="292" spans="1:19" ht="15.75" thickTop="1" x14ac:dyDescent="0.2">
      <c r="A292" s="188">
        <v>34</v>
      </c>
      <c r="B292" s="178" t="s">
        <v>1365</v>
      </c>
      <c r="C292" s="178" t="s">
        <v>1366</v>
      </c>
      <c r="D292" s="187"/>
      <c r="G292" s="182"/>
      <c r="H292" s="265">
        <v>34</v>
      </c>
      <c r="I292" s="221"/>
      <c r="J292" s="270"/>
      <c r="K292" s="271" t="s">
        <v>1366</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1216</v>
      </c>
      <c r="G293" s="182"/>
      <c r="H293" s="299"/>
      <c r="I293" s="279" t="s">
        <v>1022</v>
      </c>
      <c r="J293" s="296"/>
      <c r="K293" s="297" t="s">
        <v>1367</v>
      </c>
      <c r="L293" s="296"/>
      <c r="M293" s="296"/>
      <c r="N293" s="296"/>
      <c r="O293" s="298" t="s">
        <v>1216</v>
      </c>
      <c r="P293" s="182"/>
      <c r="Q293" s="182"/>
      <c r="R293" s="182"/>
      <c r="S293" s="182"/>
    </row>
    <row r="294" spans="1:19" x14ac:dyDescent="0.2">
      <c r="A294" s="188">
        <v>35</v>
      </c>
      <c r="B294" s="178" t="s">
        <v>1368</v>
      </c>
      <c r="C294" s="178" t="s">
        <v>1369</v>
      </c>
      <c r="D294" s="187"/>
      <c r="G294" s="182"/>
      <c r="H294" s="220">
        <v>35</v>
      </c>
      <c r="I294" s="222"/>
      <c r="J294" s="232"/>
      <c r="K294" s="277" t="s">
        <v>1369</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1133</v>
      </c>
      <c r="G295" s="182"/>
      <c r="H295" s="198"/>
      <c r="I295" s="199" t="s">
        <v>1022</v>
      </c>
      <c r="J295" s="240"/>
      <c r="K295" s="257" t="s">
        <v>1315</v>
      </c>
      <c r="L295" s="240"/>
      <c r="M295" s="240"/>
      <c r="N295" s="240"/>
      <c r="O295" s="256" t="s">
        <v>1133</v>
      </c>
      <c r="P295" s="182"/>
      <c r="Q295" s="182"/>
      <c r="R295" s="182"/>
      <c r="S295" s="182"/>
    </row>
    <row r="296" spans="1:19" x14ac:dyDescent="0.2">
      <c r="A296" s="188"/>
      <c r="B296" s="178"/>
      <c r="C296" s="178"/>
      <c r="D296" s="187"/>
      <c r="G296" s="182"/>
      <c r="H296" s="198"/>
      <c r="I296" s="199" t="s">
        <v>1049</v>
      </c>
      <c r="J296" s="187"/>
      <c r="K296" s="197" t="s">
        <v>1370</v>
      </c>
      <c r="L296" s="182"/>
      <c r="M296" s="182"/>
      <c r="N296" s="182"/>
      <c r="O296" s="234"/>
      <c r="P296" s="182"/>
      <c r="Q296" s="182"/>
      <c r="R296" s="182"/>
      <c r="S296" s="182"/>
    </row>
    <row r="297" spans="1:19" x14ac:dyDescent="0.2">
      <c r="A297" s="188"/>
      <c r="B297" s="178"/>
      <c r="C297" s="178"/>
      <c r="D297" s="187" t="s">
        <v>1133</v>
      </c>
      <c r="G297" s="182"/>
      <c r="H297" s="198"/>
      <c r="I297" s="187"/>
      <c r="J297" s="204">
        <v>1</v>
      </c>
      <c r="K297" s="182"/>
      <c r="L297" s="197" t="s">
        <v>1371</v>
      </c>
      <c r="M297" s="182"/>
      <c r="N297" s="182"/>
      <c r="O297" s="234" t="s">
        <v>1133</v>
      </c>
      <c r="P297" s="182"/>
      <c r="Q297" s="182"/>
      <c r="R297" s="182"/>
      <c r="S297" s="182"/>
    </row>
    <row r="298" spans="1:19" ht="15.75" thickBot="1" x14ac:dyDescent="0.25">
      <c r="A298" s="188"/>
      <c r="B298" s="178"/>
      <c r="C298" s="178"/>
      <c r="D298" s="187" t="s">
        <v>1133</v>
      </c>
      <c r="G298" s="182"/>
      <c r="H298" s="244"/>
      <c r="I298" s="245"/>
      <c r="J298" s="246">
        <v>2</v>
      </c>
      <c r="K298" s="247"/>
      <c r="L298" s="248" t="s">
        <v>1247</v>
      </c>
      <c r="M298" s="247"/>
      <c r="N298" s="247"/>
      <c r="O298" s="280" t="s">
        <v>1133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1372</v>
      </c>
      <c r="C300" s="178" t="s">
        <v>1373</v>
      </c>
      <c r="D300" s="187" t="s">
        <v>1133</v>
      </c>
      <c r="G300" s="182"/>
      <c r="H300" s="220">
        <v>36</v>
      </c>
      <c r="I300" s="222"/>
      <c r="J300" s="232"/>
      <c r="K300" s="277" t="s">
        <v>1373</v>
      </c>
      <c r="L300" s="232"/>
      <c r="M300" s="232"/>
      <c r="N300" s="232"/>
      <c r="O300" s="242" t="s">
        <v>1133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1374</v>
      </c>
      <c r="C301" s="178" t="s">
        <v>1375</v>
      </c>
      <c r="D301" s="187" t="s">
        <v>1216</v>
      </c>
      <c r="G301" s="182"/>
      <c r="H301" s="265">
        <v>37</v>
      </c>
      <c r="I301" s="221"/>
      <c r="J301" s="270"/>
      <c r="K301" s="271" t="s">
        <v>1375</v>
      </c>
      <c r="L301" s="270"/>
      <c r="M301" s="270"/>
      <c r="N301" s="270"/>
      <c r="O301" s="223" t="s">
        <v>1216</v>
      </c>
      <c r="P301" s="182"/>
      <c r="Q301" s="196">
        <f t="shared" si="42"/>
        <v>37</v>
      </c>
      <c r="R301" s="187" t="str">
        <f t="shared" si="43"/>
        <v>II-0037</v>
      </c>
      <c r="S301" s="197" t="str">
        <f t="shared" si="44"/>
        <v>ENRIPIADO</v>
      </c>
    </row>
    <row r="302" spans="1:19" ht="16.5" thickTop="1" thickBot="1" x14ac:dyDescent="0.25">
      <c r="A302" s="188">
        <v>38</v>
      </c>
      <c r="B302" s="178" t="s">
        <v>1376</v>
      </c>
      <c r="C302" s="178" t="s">
        <v>1377</v>
      </c>
      <c r="D302" s="187" t="s">
        <v>1216</v>
      </c>
      <c r="G302" s="182"/>
      <c r="H302" s="265">
        <v>38</v>
      </c>
      <c r="I302" s="221"/>
      <c r="J302" s="270"/>
      <c r="K302" s="271" t="s">
        <v>1377</v>
      </c>
      <c r="L302" s="270"/>
      <c r="M302" s="270"/>
      <c r="N302" s="270"/>
      <c r="O302" s="223" t="s">
        <v>1216</v>
      </c>
      <c r="P302" s="182"/>
      <c r="Q302" s="196">
        <f t="shared" si="42"/>
        <v>38</v>
      </c>
      <c r="R302" s="187" t="str">
        <f t="shared" si="43"/>
        <v>II-0038</v>
      </c>
      <c r="S302" s="197" t="str">
        <f t="shared" si="44"/>
        <v>ESCARIFICADO</v>
      </c>
    </row>
    <row r="303" spans="1:19" ht="15.75" thickTop="1" x14ac:dyDescent="0.2">
      <c r="A303" s="188">
        <v>39</v>
      </c>
      <c r="B303" s="178" t="s">
        <v>1378</v>
      </c>
      <c r="C303" s="178" t="s">
        <v>1379</v>
      </c>
      <c r="D303" s="187"/>
      <c r="G303" s="182"/>
      <c r="H303" s="265">
        <v>39</v>
      </c>
      <c r="I303" s="221"/>
      <c r="J303" s="270"/>
      <c r="K303" s="271" t="s">
        <v>1379</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1133</v>
      </c>
      <c r="G304" s="182"/>
      <c r="H304" s="198"/>
      <c r="I304" s="199" t="s">
        <v>1022</v>
      </c>
      <c r="J304" s="240"/>
      <c r="K304" s="257" t="s">
        <v>1380</v>
      </c>
      <c r="L304" s="257"/>
      <c r="M304" s="257"/>
      <c r="N304" s="257"/>
      <c r="O304" s="256" t="s">
        <v>1133</v>
      </c>
      <c r="P304" s="182"/>
      <c r="Q304" s="182"/>
      <c r="R304" s="182"/>
      <c r="S304" s="182"/>
    </row>
    <row r="305" spans="1:19" x14ac:dyDescent="0.2">
      <c r="A305" s="188"/>
      <c r="B305" s="178"/>
      <c r="C305" s="178"/>
      <c r="D305" s="187" t="s">
        <v>1133</v>
      </c>
      <c r="G305" s="182"/>
      <c r="H305" s="198"/>
      <c r="I305" s="199" t="s">
        <v>1049</v>
      </c>
      <c r="J305" s="240"/>
      <c r="K305" s="257" t="s">
        <v>1381</v>
      </c>
      <c r="L305" s="257"/>
      <c r="M305" s="257"/>
      <c r="N305" s="257"/>
      <c r="O305" s="256" t="s">
        <v>1133</v>
      </c>
      <c r="P305" s="182"/>
      <c r="Q305" s="182"/>
      <c r="R305" s="182"/>
      <c r="S305" s="182"/>
    </row>
    <row r="306" spans="1:19" x14ac:dyDescent="0.2">
      <c r="A306" s="188"/>
      <c r="B306" s="178"/>
      <c r="C306" s="178"/>
      <c r="D306" s="187" t="s">
        <v>1133</v>
      </c>
      <c r="G306" s="182"/>
      <c r="H306" s="198"/>
      <c r="I306" s="199" t="s">
        <v>1059</v>
      </c>
      <c r="J306" s="240"/>
      <c r="K306" s="257" t="s">
        <v>1382</v>
      </c>
      <c r="L306" s="257"/>
      <c r="M306" s="257"/>
      <c r="N306" s="257"/>
      <c r="O306" s="256" t="s">
        <v>1133</v>
      </c>
      <c r="P306" s="182"/>
      <c r="Q306" s="182"/>
      <c r="R306" s="182"/>
      <c r="S306" s="182"/>
    </row>
    <row r="307" spans="1:19" x14ac:dyDescent="0.2">
      <c r="A307" s="188"/>
      <c r="B307" s="178"/>
      <c r="C307" s="178"/>
      <c r="D307" s="187" t="s">
        <v>1133</v>
      </c>
      <c r="G307" s="182"/>
      <c r="H307" s="198"/>
      <c r="I307" s="199" t="s">
        <v>1085</v>
      </c>
      <c r="J307" s="240"/>
      <c r="K307" s="257" t="s">
        <v>1383</v>
      </c>
      <c r="L307" s="257"/>
      <c r="M307" s="257"/>
      <c r="N307" s="257"/>
      <c r="O307" s="256" t="s">
        <v>1133</v>
      </c>
      <c r="P307" s="182"/>
      <c r="Q307" s="182"/>
      <c r="R307" s="182"/>
      <c r="S307" s="182"/>
    </row>
    <row r="308" spans="1:19" x14ac:dyDescent="0.2">
      <c r="A308" s="188"/>
      <c r="B308" s="178"/>
      <c r="C308" s="178"/>
      <c r="D308" s="187" t="s">
        <v>1133</v>
      </c>
      <c r="G308" s="182"/>
      <c r="H308" s="198"/>
      <c r="I308" s="199" t="s">
        <v>1127</v>
      </c>
      <c r="J308" s="240"/>
      <c r="K308" s="257" t="s">
        <v>1384</v>
      </c>
      <c r="L308" s="257"/>
      <c r="M308" s="257"/>
      <c r="N308" s="257"/>
      <c r="O308" s="256" t="s">
        <v>1133</v>
      </c>
      <c r="P308" s="182"/>
      <c r="Q308" s="182"/>
      <c r="R308" s="182"/>
      <c r="S308" s="182"/>
    </row>
    <row r="309" spans="1:19" x14ac:dyDescent="0.2">
      <c r="A309" s="188"/>
      <c r="B309" s="178"/>
      <c r="C309" s="178"/>
      <c r="D309" s="187" t="s">
        <v>1133</v>
      </c>
      <c r="G309" s="182"/>
      <c r="H309" s="198"/>
      <c r="I309" s="199" t="s">
        <v>1130</v>
      </c>
      <c r="J309" s="240"/>
      <c r="K309" s="257" t="s">
        <v>1385</v>
      </c>
      <c r="L309" s="257"/>
      <c r="M309" s="257"/>
      <c r="N309" s="257"/>
      <c r="O309" s="256" t="s">
        <v>1133</v>
      </c>
      <c r="P309" s="182"/>
      <c r="Q309" s="182"/>
      <c r="R309" s="182"/>
      <c r="S309" s="182"/>
    </row>
    <row r="310" spans="1:19" x14ac:dyDescent="0.2">
      <c r="A310" s="188"/>
      <c r="B310" s="178"/>
      <c r="C310" s="178"/>
      <c r="D310" s="187" t="s">
        <v>1133</v>
      </c>
      <c r="G310" s="182"/>
      <c r="H310" s="198"/>
      <c r="I310" s="199" t="s">
        <v>1134</v>
      </c>
      <c r="J310" s="240"/>
      <c r="K310" s="257" t="s">
        <v>1386</v>
      </c>
      <c r="L310" s="257"/>
      <c r="M310" s="257"/>
      <c r="N310" s="257"/>
      <c r="O310" s="256" t="s">
        <v>1133</v>
      </c>
      <c r="P310" s="182"/>
      <c r="Q310" s="182"/>
      <c r="R310" s="182"/>
      <c r="S310" s="182"/>
    </row>
    <row r="311" spans="1:19" x14ac:dyDescent="0.2">
      <c r="A311" s="188"/>
      <c r="B311" s="178"/>
      <c r="C311" s="178"/>
      <c r="D311" s="187" t="s">
        <v>1133</v>
      </c>
      <c r="G311" s="182"/>
      <c r="H311" s="198"/>
      <c r="I311" s="199" t="s">
        <v>1137</v>
      </c>
      <c r="J311" s="240"/>
      <c r="K311" s="257" t="s">
        <v>1387</v>
      </c>
      <c r="L311" s="257"/>
      <c r="M311" s="257"/>
      <c r="N311" s="257"/>
      <c r="O311" s="256" t="s">
        <v>1133</v>
      </c>
      <c r="P311" s="182"/>
      <c r="Q311" s="182"/>
      <c r="R311" s="182"/>
      <c r="S311" s="182"/>
    </row>
    <row r="312" spans="1:19" x14ac:dyDescent="0.2">
      <c r="A312" s="188"/>
      <c r="B312" s="178"/>
      <c r="C312" s="178"/>
      <c r="D312" s="187" t="s">
        <v>1133</v>
      </c>
      <c r="G312" s="182"/>
      <c r="H312" s="198"/>
      <c r="I312" s="199" t="s">
        <v>889</v>
      </c>
      <c r="J312" s="240"/>
      <c r="K312" s="257" t="s">
        <v>1388</v>
      </c>
      <c r="L312" s="257"/>
      <c r="M312" s="257"/>
      <c r="N312" s="257"/>
      <c r="O312" s="256" t="s">
        <v>1133</v>
      </c>
      <c r="P312" s="182"/>
      <c r="Q312" s="182"/>
      <c r="R312" s="182"/>
      <c r="S312" s="182"/>
    </row>
    <row r="313" spans="1:19" ht="15.75" thickBot="1" x14ac:dyDescent="0.25">
      <c r="A313" s="188"/>
      <c r="B313" s="178"/>
      <c r="C313" s="178"/>
      <c r="D313" s="187" t="s">
        <v>1133</v>
      </c>
      <c r="G313" s="182"/>
      <c r="H313" s="213"/>
      <c r="I313" s="225" t="s">
        <v>1142</v>
      </c>
      <c r="J313" s="228"/>
      <c r="K313" s="259" t="s">
        <v>1389</v>
      </c>
      <c r="L313" s="259"/>
      <c r="M313" s="259"/>
      <c r="N313" s="259"/>
      <c r="O313" s="260" t="s">
        <v>1133</v>
      </c>
      <c r="P313" s="182"/>
      <c r="Q313" s="182"/>
      <c r="R313" s="182"/>
      <c r="S313" s="182"/>
    </row>
    <row r="314" spans="1:19" ht="15.75" thickTop="1" x14ac:dyDescent="0.2">
      <c r="A314" s="188">
        <v>40</v>
      </c>
      <c r="B314" s="178" t="s">
        <v>1390</v>
      </c>
      <c r="C314" s="178" t="s">
        <v>1286</v>
      </c>
      <c r="D314" s="187"/>
      <c r="G314" s="182"/>
      <c r="H314" s="220">
        <v>40</v>
      </c>
      <c r="I314" s="222"/>
      <c r="J314" s="232"/>
      <c r="K314" s="277" t="s">
        <v>1286</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1216</v>
      </c>
      <c r="G315" s="182"/>
      <c r="H315" s="198"/>
      <c r="I315" s="225" t="s">
        <v>1022</v>
      </c>
      <c r="J315" s="182"/>
      <c r="K315" s="197" t="s">
        <v>1391</v>
      </c>
      <c r="L315" s="182"/>
      <c r="M315" s="182"/>
      <c r="N315" s="182"/>
      <c r="O315" s="234" t="s">
        <v>1216</v>
      </c>
      <c r="P315" s="182"/>
      <c r="Q315" s="182"/>
      <c r="R315" s="182"/>
      <c r="S315" s="182"/>
    </row>
    <row r="316" spans="1:19" ht="15.75" thickTop="1" x14ac:dyDescent="0.2">
      <c r="A316" s="188">
        <v>41</v>
      </c>
      <c r="B316" s="178" t="s">
        <v>1392</v>
      </c>
      <c r="C316" s="178" t="s">
        <v>1393</v>
      </c>
      <c r="D316" s="187"/>
      <c r="G316" s="182"/>
      <c r="H316" s="265">
        <v>41</v>
      </c>
      <c r="I316" s="221"/>
      <c r="J316" s="270"/>
      <c r="K316" s="271" t="s">
        <v>1393</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1022</v>
      </c>
      <c r="J317" s="187"/>
      <c r="K317" s="197" t="s">
        <v>1302</v>
      </c>
      <c r="L317" s="182"/>
      <c r="M317" s="182"/>
      <c r="N317" s="182"/>
      <c r="O317" s="234"/>
      <c r="P317" s="182"/>
      <c r="Q317" s="182"/>
      <c r="R317" s="182"/>
      <c r="S317" s="182"/>
    </row>
    <row r="318" spans="1:19" x14ac:dyDescent="0.2">
      <c r="A318" s="188"/>
      <c r="B318" s="178"/>
      <c r="C318" s="178"/>
      <c r="D318" s="187" t="s">
        <v>1133</v>
      </c>
      <c r="G318" s="182"/>
      <c r="H318" s="198"/>
      <c r="I318" s="187"/>
      <c r="J318" s="204">
        <v>1</v>
      </c>
      <c r="K318" s="182"/>
      <c r="L318" s="197" t="s">
        <v>1394</v>
      </c>
      <c r="M318" s="182"/>
      <c r="N318" s="182"/>
      <c r="O318" s="234" t="s">
        <v>1133</v>
      </c>
      <c r="P318" s="182"/>
      <c r="Q318" s="182"/>
      <c r="R318" s="182"/>
      <c r="S318" s="182"/>
    </row>
    <row r="319" spans="1:19" x14ac:dyDescent="0.2">
      <c r="A319" s="188"/>
      <c r="B319" s="178"/>
      <c r="C319" s="178"/>
      <c r="D319" s="187" t="s">
        <v>1133</v>
      </c>
      <c r="G319" s="182"/>
      <c r="H319" s="198"/>
      <c r="I319" s="251"/>
      <c r="J319" s="207">
        <v>2</v>
      </c>
      <c r="K319" s="208"/>
      <c r="L319" s="209" t="s">
        <v>1395</v>
      </c>
      <c r="M319" s="208"/>
      <c r="N319" s="208"/>
      <c r="O319" s="252" t="s">
        <v>1133</v>
      </c>
      <c r="P319" s="182"/>
      <c r="Q319" s="182"/>
      <c r="R319" s="182"/>
      <c r="S319" s="182"/>
    </row>
    <row r="320" spans="1:19" x14ac:dyDescent="0.2">
      <c r="A320" s="188"/>
      <c r="B320" s="178"/>
      <c r="C320" s="178"/>
      <c r="D320" s="187"/>
      <c r="G320" s="182"/>
      <c r="H320" s="198"/>
      <c r="I320" s="207" t="s">
        <v>1049</v>
      </c>
      <c r="J320" s="187"/>
      <c r="K320" s="197" t="s">
        <v>1301</v>
      </c>
      <c r="L320" s="182"/>
      <c r="M320" s="182"/>
      <c r="N320" s="182"/>
      <c r="O320" s="234"/>
      <c r="P320" s="182"/>
      <c r="Q320" s="182"/>
      <c r="R320" s="182"/>
      <c r="S320" s="182"/>
    </row>
    <row r="321" spans="1:19" x14ac:dyDescent="0.2">
      <c r="A321" s="188"/>
      <c r="B321" s="178"/>
      <c r="C321" s="178"/>
      <c r="D321" s="187" t="s">
        <v>1133</v>
      </c>
      <c r="G321" s="182"/>
      <c r="H321" s="198"/>
      <c r="I321" s="187"/>
      <c r="J321" s="204">
        <v>1</v>
      </c>
      <c r="K321" s="182"/>
      <c r="L321" s="197" t="s">
        <v>1394</v>
      </c>
      <c r="M321" s="182"/>
      <c r="N321" s="182"/>
      <c r="O321" s="234" t="s">
        <v>1133</v>
      </c>
      <c r="P321" s="182"/>
      <c r="Q321" s="182"/>
      <c r="R321" s="182"/>
      <c r="S321" s="182"/>
    </row>
    <row r="322" spans="1:19" x14ac:dyDescent="0.2">
      <c r="A322" s="188"/>
      <c r="B322" s="178"/>
      <c r="C322" s="178"/>
      <c r="D322" s="187" t="s">
        <v>1133</v>
      </c>
      <c r="G322" s="182"/>
      <c r="H322" s="198"/>
      <c r="I322" s="212"/>
      <c r="J322" s="207">
        <v>2</v>
      </c>
      <c r="K322" s="208"/>
      <c r="L322" s="209" t="s">
        <v>1395</v>
      </c>
      <c r="M322" s="208"/>
      <c r="N322" s="208"/>
      <c r="O322" s="252" t="s">
        <v>1133</v>
      </c>
      <c r="P322" s="182"/>
      <c r="Q322" s="182"/>
      <c r="R322" s="182"/>
      <c r="S322" s="182"/>
    </row>
    <row r="323" spans="1:19" x14ac:dyDescent="0.2">
      <c r="A323" s="188"/>
      <c r="B323" s="178"/>
      <c r="C323" s="178"/>
      <c r="D323" s="187" t="s">
        <v>1133</v>
      </c>
      <c r="G323" s="182"/>
      <c r="H323" s="198"/>
      <c r="I323" s="199" t="s">
        <v>1059</v>
      </c>
      <c r="J323" s="240"/>
      <c r="K323" s="257" t="s">
        <v>1091</v>
      </c>
      <c r="L323" s="257"/>
      <c r="M323" s="240"/>
      <c r="N323" s="240"/>
      <c r="O323" s="256" t="s">
        <v>1133</v>
      </c>
      <c r="P323" s="182"/>
      <c r="Q323" s="182"/>
      <c r="R323" s="182"/>
      <c r="S323" s="182"/>
    </row>
    <row r="324" spans="1:19" ht="15.75" thickBot="1" x14ac:dyDescent="0.25">
      <c r="A324" s="188"/>
      <c r="B324" s="178"/>
      <c r="C324" s="178"/>
      <c r="D324" s="187" t="s">
        <v>1133</v>
      </c>
      <c r="G324" s="182"/>
      <c r="H324" s="198"/>
      <c r="I324" s="204" t="s">
        <v>1085</v>
      </c>
      <c r="J324" s="182"/>
      <c r="K324" s="197" t="s">
        <v>1139</v>
      </c>
      <c r="L324" s="197"/>
      <c r="M324" s="182"/>
      <c r="N324" s="182"/>
      <c r="O324" s="234" t="s">
        <v>1133</v>
      </c>
      <c r="P324" s="182"/>
      <c r="Q324" s="182"/>
      <c r="R324" s="182"/>
      <c r="S324" s="182"/>
    </row>
    <row r="325" spans="1:19" ht="16.5" thickTop="1" thickBot="1" x14ac:dyDescent="0.25">
      <c r="A325" s="188">
        <v>42</v>
      </c>
      <c r="B325" s="178" t="s">
        <v>1396</v>
      </c>
      <c r="C325" s="178" t="s">
        <v>1397</v>
      </c>
      <c r="D325" s="187" t="s">
        <v>5</v>
      </c>
      <c r="G325" s="182"/>
      <c r="H325" s="291">
        <v>42</v>
      </c>
      <c r="I325" s="292"/>
      <c r="J325" s="293"/>
      <c r="K325" s="294" t="s">
        <v>1397</v>
      </c>
      <c r="L325" s="294"/>
      <c r="M325" s="293"/>
      <c r="N325" s="293"/>
      <c r="O325" s="295" t="s">
        <v>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1398</v>
      </c>
      <c r="C326" s="178" t="s">
        <v>1399</v>
      </c>
      <c r="D326" s="187"/>
      <c r="G326" s="182"/>
      <c r="H326" s="220">
        <v>43</v>
      </c>
      <c r="I326" s="222"/>
      <c r="J326" s="232"/>
      <c r="K326" s="277" t="s">
        <v>1399</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1022</v>
      </c>
      <c r="J327" s="187"/>
      <c r="K327" s="197" t="s">
        <v>1400</v>
      </c>
      <c r="L327" s="182"/>
      <c r="M327" s="182"/>
      <c r="N327" s="182"/>
      <c r="O327" s="234"/>
      <c r="P327" s="182"/>
      <c r="Q327" s="182"/>
      <c r="R327" s="182"/>
      <c r="S327" s="182"/>
    </row>
    <row r="328" spans="1:19" x14ac:dyDescent="0.2">
      <c r="A328" s="188"/>
      <c r="B328" s="178"/>
      <c r="C328" s="178"/>
      <c r="D328" s="187" t="s">
        <v>1133</v>
      </c>
      <c r="G328" s="182"/>
      <c r="H328" s="198"/>
      <c r="I328" s="187"/>
      <c r="J328" s="204">
        <v>1</v>
      </c>
      <c r="K328" s="182"/>
      <c r="L328" s="197" t="s">
        <v>1401</v>
      </c>
      <c r="M328" s="182"/>
      <c r="N328" s="182"/>
      <c r="O328" s="234" t="s">
        <v>1133</v>
      </c>
      <c r="P328" s="182"/>
      <c r="Q328" s="182"/>
      <c r="R328" s="182"/>
      <c r="S328" s="182"/>
    </row>
    <row r="329" spans="1:19" x14ac:dyDescent="0.2">
      <c r="A329" s="188"/>
      <c r="B329" s="178"/>
      <c r="C329" s="178"/>
      <c r="D329" s="187" t="s">
        <v>1133</v>
      </c>
      <c r="G329" s="182"/>
      <c r="H329" s="198"/>
      <c r="I329" s="187"/>
      <c r="J329" s="204">
        <v>2</v>
      </c>
      <c r="K329" s="182"/>
      <c r="L329" s="197" t="s">
        <v>1231</v>
      </c>
      <c r="M329" s="182"/>
      <c r="N329" s="182"/>
      <c r="O329" s="234" t="s">
        <v>1133</v>
      </c>
      <c r="P329" s="182"/>
      <c r="Q329" s="182"/>
      <c r="R329" s="182"/>
      <c r="S329" s="182"/>
    </row>
    <row r="330" spans="1:19" x14ac:dyDescent="0.2">
      <c r="A330" s="188"/>
      <c r="B330" s="178"/>
      <c r="C330" s="178"/>
      <c r="D330" s="187" t="s">
        <v>1133</v>
      </c>
      <c r="G330" s="182"/>
      <c r="H330" s="198"/>
      <c r="I330" s="187"/>
      <c r="J330" s="204">
        <v>3</v>
      </c>
      <c r="K330" s="182"/>
      <c r="L330" s="197" t="s">
        <v>1402</v>
      </c>
      <c r="M330" s="182"/>
      <c r="N330" s="182"/>
      <c r="O330" s="234" t="s">
        <v>1133</v>
      </c>
      <c r="P330" s="182"/>
      <c r="Q330" s="182"/>
      <c r="R330" s="182"/>
      <c r="S330" s="182"/>
    </row>
    <row r="331" spans="1:19" x14ac:dyDescent="0.2">
      <c r="A331" s="188"/>
      <c r="B331" s="178"/>
      <c r="C331" s="178"/>
      <c r="D331" s="187" t="s">
        <v>1133</v>
      </c>
      <c r="G331" s="182"/>
      <c r="H331" s="198"/>
      <c r="I331" s="187"/>
      <c r="J331" s="204">
        <v>4</v>
      </c>
      <c r="K331" s="182"/>
      <c r="L331" s="197" t="s">
        <v>1382</v>
      </c>
      <c r="M331" s="182"/>
      <c r="N331" s="182"/>
      <c r="O331" s="234" t="s">
        <v>1133</v>
      </c>
      <c r="P331" s="182"/>
      <c r="Q331" s="182"/>
      <c r="R331" s="182"/>
      <c r="S331" s="182"/>
    </row>
    <row r="332" spans="1:19" x14ac:dyDescent="0.2">
      <c r="A332" s="188"/>
      <c r="B332" s="178"/>
      <c r="C332" s="178"/>
      <c r="D332" s="187" t="s">
        <v>1133</v>
      </c>
      <c r="G332" s="182"/>
      <c r="H332" s="198"/>
      <c r="I332" s="212"/>
      <c r="J332" s="207">
        <v>5</v>
      </c>
      <c r="K332" s="208"/>
      <c r="L332" s="209" t="s">
        <v>1403</v>
      </c>
      <c r="M332" s="208"/>
      <c r="N332" s="208"/>
      <c r="O332" s="252" t="s">
        <v>1133</v>
      </c>
      <c r="P332" s="182"/>
      <c r="Q332" s="182"/>
      <c r="R332" s="182"/>
      <c r="S332" s="182"/>
    </row>
    <row r="333" spans="1:19" x14ac:dyDescent="0.2">
      <c r="A333" s="188"/>
      <c r="B333" s="178"/>
      <c r="C333" s="178"/>
      <c r="D333" s="187"/>
      <c r="G333" s="182"/>
      <c r="H333" s="198"/>
      <c r="I333" s="199" t="s">
        <v>1049</v>
      </c>
      <c r="J333" s="187"/>
      <c r="K333" s="197" t="s">
        <v>1404</v>
      </c>
      <c r="L333" s="182"/>
      <c r="M333" s="182"/>
      <c r="N333" s="182"/>
      <c r="O333" s="234"/>
      <c r="P333" s="182"/>
      <c r="Q333" s="182"/>
      <c r="R333" s="182"/>
      <c r="S333" s="182"/>
    </row>
    <row r="334" spans="1:19" x14ac:dyDescent="0.2">
      <c r="A334" s="188"/>
      <c r="B334" s="178"/>
      <c r="C334" s="178"/>
      <c r="D334" s="187" t="s">
        <v>1133</v>
      </c>
      <c r="G334" s="182"/>
      <c r="H334" s="198"/>
      <c r="I334" s="187"/>
      <c r="J334" s="204">
        <v>1</v>
      </c>
      <c r="K334" s="182"/>
      <c r="L334" s="197" t="s">
        <v>1231</v>
      </c>
      <c r="M334" s="182"/>
      <c r="N334" s="182"/>
      <c r="O334" s="234" t="s">
        <v>1133</v>
      </c>
      <c r="P334" s="182"/>
      <c r="Q334" s="182"/>
      <c r="R334" s="182"/>
      <c r="S334" s="182"/>
    </row>
    <row r="335" spans="1:19" x14ac:dyDescent="0.2">
      <c r="A335" s="188"/>
      <c r="B335" s="178"/>
      <c r="C335" s="178"/>
      <c r="D335" s="187" t="s">
        <v>1133</v>
      </c>
      <c r="G335" s="182"/>
      <c r="H335" s="198"/>
      <c r="I335" s="187"/>
      <c r="J335" s="204">
        <v>2</v>
      </c>
      <c r="K335" s="182"/>
      <c r="L335" s="197" t="s">
        <v>1405</v>
      </c>
      <c r="M335" s="182"/>
      <c r="N335" s="182"/>
      <c r="O335" s="234" t="s">
        <v>1133</v>
      </c>
      <c r="P335" s="182"/>
      <c r="Q335" s="182"/>
      <c r="R335" s="182"/>
      <c r="S335" s="182"/>
    </row>
    <row r="336" spans="1:19" x14ac:dyDescent="0.2">
      <c r="A336" s="188"/>
      <c r="B336" s="178"/>
      <c r="C336" s="178"/>
      <c r="D336" s="187" t="s">
        <v>1133</v>
      </c>
      <c r="G336" s="182"/>
      <c r="H336" s="198"/>
      <c r="I336" s="187"/>
      <c r="J336" s="204">
        <v>3</v>
      </c>
      <c r="K336" s="182"/>
      <c r="L336" s="197" t="s">
        <v>1406</v>
      </c>
      <c r="M336" s="182"/>
      <c r="N336" s="182"/>
      <c r="O336" s="234" t="s">
        <v>1133</v>
      </c>
      <c r="P336" s="182"/>
      <c r="Q336" s="182"/>
      <c r="R336" s="182"/>
      <c r="S336" s="182"/>
    </row>
    <row r="337" spans="1:19" x14ac:dyDescent="0.2">
      <c r="A337" s="188"/>
      <c r="B337" s="178"/>
      <c r="C337" s="178"/>
      <c r="D337" s="187" t="s">
        <v>1133</v>
      </c>
      <c r="G337" s="182"/>
      <c r="H337" s="198"/>
      <c r="I337" s="187"/>
      <c r="J337" s="204">
        <v>4</v>
      </c>
      <c r="K337" s="182"/>
      <c r="L337" s="197" t="s">
        <v>1407</v>
      </c>
      <c r="M337" s="182"/>
      <c r="N337" s="182"/>
      <c r="O337" s="234" t="s">
        <v>1133</v>
      </c>
      <c r="P337" s="182"/>
      <c r="Q337" s="182"/>
      <c r="R337" s="182"/>
      <c r="S337" s="182"/>
    </row>
    <row r="338" spans="1:19" x14ac:dyDescent="0.2">
      <c r="A338" s="188"/>
      <c r="B338" s="178"/>
      <c r="C338" s="178"/>
      <c r="D338" s="187" t="s">
        <v>1133</v>
      </c>
      <c r="G338" s="182"/>
      <c r="H338" s="198"/>
      <c r="I338" s="187"/>
      <c r="J338" s="204">
        <v>5</v>
      </c>
      <c r="K338" s="182"/>
      <c r="L338" s="197" t="s">
        <v>1408</v>
      </c>
      <c r="M338" s="182"/>
      <c r="N338" s="182"/>
      <c r="O338" s="234" t="s">
        <v>1133</v>
      </c>
      <c r="P338" s="182"/>
      <c r="Q338" s="182"/>
      <c r="R338" s="182"/>
      <c r="S338" s="182"/>
    </row>
    <row r="339" spans="1:19" x14ac:dyDescent="0.2">
      <c r="A339" s="188"/>
      <c r="B339" s="178"/>
      <c r="C339" s="178"/>
      <c r="D339" s="187" t="s">
        <v>1133</v>
      </c>
      <c r="G339" s="182"/>
      <c r="H339" s="198"/>
      <c r="I339" s="251"/>
      <c r="J339" s="187">
        <v>6</v>
      </c>
      <c r="K339" s="197"/>
      <c r="L339" s="182" t="s">
        <v>1403</v>
      </c>
      <c r="M339" s="182"/>
      <c r="N339" s="182"/>
      <c r="O339" s="234" t="s">
        <v>1133</v>
      </c>
      <c r="P339" s="182"/>
      <c r="Q339" s="182"/>
      <c r="R339" s="182"/>
      <c r="S339" s="182"/>
    </row>
    <row r="340" spans="1:19" x14ac:dyDescent="0.2">
      <c r="A340" s="188"/>
      <c r="B340" s="178"/>
      <c r="C340" s="178"/>
      <c r="D340" s="187"/>
      <c r="G340" s="182"/>
      <c r="H340" s="198"/>
      <c r="I340" s="207" t="s">
        <v>1059</v>
      </c>
      <c r="J340" s="187"/>
      <c r="K340" s="197" t="s">
        <v>1409</v>
      </c>
      <c r="L340" s="182"/>
      <c r="M340" s="182"/>
      <c r="N340" s="182"/>
      <c r="O340" s="234"/>
      <c r="P340" s="182"/>
      <c r="Q340" s="182"/>
      <c r="R340" s="182"/>
      <c r="S340" s="182"/>
    </row>
    <row r="341" spans="1:19" x14ac:dyDescent="0.2">
      <c r="A341" s="188"/>
      <c r="B341" s="178"/>
      <c r="C341" s="178"/>
      <c r="D341" s="187" t="s">
        <v>1133</v>
      </c>
      <c r="G341" s="182"/>
      <c r="H341" s="198"/>
      <c r="I341" s="187"/>
      <c r="J341" s="204">
        <v>1</v>
      </c>
      <c r="K341" s="182"/>
      <c r="L341" s="197" t="s">
        <v>1410</v>
      </c>
      <c r="M341" s="182"/>
      <c r="N341" s="182"/>
      <c r="O341" s="234" t="s">
        <v>1133</v>
      </c>
      <c r="P341" s="182"/>
      <c r="Q341" s="182"/>
      <c r="R341" s="182"/>
      <c r="S341" s="182"/>
    </row>
    <row r="342" spans="1:19" x14ac:dyDescent="0.2">
      <c r="A342" s="188"/>
      <c r="B342" s="178"/>
      <c r="C342" s="178"/>
      <c r="D342" s="187" t="s">
        <v>1133</v>
      </c>
      <c r="G342" s="182"/>
      <c r="H342" s="198"/>
      <c r="I342" s="187"/>
      <c r="J342" s="204">
        <v>2</v>
      </c>
      <c r="K342" s="182"/>
      <c r="L342" s="197" t="s">
        <v>1231</v>
      </c>
      <c r="M342" s="182"/>
      <c r="N342" s="182"/>
      <c r="O342" s="234" t="s">
        <v>1133</v>
      </c>
      <c r="P342" s="182"/>
      <c r="Q342" s="182"/>
      <c r="R342" s="182"/>
      <c r="S342" s="182"/>
    </row>
    <row r="343" spans="1:19" x14ac:dyDescent="0.2">
      <c r="A343" s="188"/>
      <c r="B343" s="178"/>
      <c r="C343" s="178"/>
      <c r="D343" s="187" t="s">
        <v>1133</v>
      </c>
      <c r="G343" s="182"/>
      <c r="H343" s="198"/>
      <c r="I343" s="187"/>
      <c r="J343" s="204">
        <v>3</v>
      </c>
      <c r="K343" s="182"/>
      <c r="L343" s="197" t="s">
        <v>1411</v>
      </c>
      <c r="M343" s="182"/>
      <c r="N343" s="182"/>
      <c r="O343" s="234" t="s">
        <v>1133</v>
      </c>
      <c r="P343" s="182"/>
      <c r="Q343" s="182"/>
      <c r="R343" s="182"/>
      <c r="S343" s="182"/>
    </row>
    <row r="344" spans="1:19" x14ac:dyDescent="0.2">
      <c r="A344" s="188"/>
      <c r="B344" s="178"/>
      <c r="C344" s="178"/>
      <c r="D344" s="187" t="s">
        <v>1133</v>
      </c>
      <c r="G344" s="182"/>
      <c r="H344" s="198"/>
      <c r="I344" s="187"/>
      <c r="J344" s="204">
        <v>4</v>
      </c>
      <c r="K344" s="182"/>
      <c r="L344" s="197" t="s">
        <v>1405</v>
      </c>
      <c r="M344" s="182"/>
      <c r="N344" s="182"/>
      <c r="O344" s="234" t="s">
        <v>1133</v>
      </c>
      <c r="P344" s="182"/>
      <c r="Q344" s="182"/>
      <c r="R344" s="182"/>
      <c r="S344" s="182"/>
    </row>
    <row r="345" spans="1:19" x14ac:dyDescent="0.2">
      <c r="A345" s="188"/>
      <c r="B345" s="178"/>
      <c r="C345" s="178"/>
      <c r="D345" s="187" t="s">
        <v>1133</v>
      </c>
      <c r="G345" s="182"/>
      <c r="H345" s="198"/>
      <c r="I345" s="187"/>
      <c r="J345" s="204">
        <v>5</v>
      </c>
      <c r="K345" s="182"/>
      <c r="L345" s="197" t="s">
        <v>1342</v>
      </c>
      <c r="M345" s="182"/>
      <c r="N345" s="182"/>
      <c r="O345" s="234" t="s">
        <v>1133</v>
      </c>
      <c r="P345" s="182"/>
      <c r="Q345" s="182"/>
      <c r="R345" s="182"/>
      <c r="S345" s="182"/>
    </row>
    <row r="346" spans="1:19" x14ac:dyDescent="0.2">
      <c r="A346" s="188"/>
      <c r="B346" s="178"/>
      <c r="C346" s="178"/>
      <c r="D346" s="187" t="s">
        <v>1133</v>
      </c>
      <c r="G346" s="182"/>
      <c r="H346" s="198"/>
      <c r="I346" s="187"/>
      <c r="J346" s="204">
        <v>6</v>
      </c>
      <c r="K346" s="182"/>
      <c r="L346" s="197" t="s">
        <v>1407</v>
      </c>
      <c r="M346" s="182"/>
      <c r="N346" s="182"/>
      <c r="O346" s="234" t="s">
        <v>1133</v>
      </c>
      <c r="P346" s="182"/>
      <c r="Q346" s="182"/>
      <c r="R346" s="182"/>
      <c r="S346" s="182"/>
    </row>
    <row r="347" spans="1:19" x14ac:dyDescent="0.2">
      <c r="A347" s="188"/>
      <c r="B347" s="178"/>
      <c r="C347" s="178"/>
      <c r="D347" s="187" t="s">
        <v>1133</v>
      </c>
      <c r="G347" s="182"/>
      <c r="H347" s="198"/>
      <c r="I347" s="187"/>
      <c r="J347" s="204">
        <v>7</v>
      </c>
      <c r="K347" s="182"/>
      <c r="L347" s="197" t="s">
        <v>1408</v>
      </c>
      <c r="M347" s="182"/>
      <c r="N347" s="182"/>
      <c r="O347" s="234" t="s">
        <v>1133</v>
      </c>
      <c r="P347" s="182"/>
      <c r="Q347" s="182"/>
      <c r="R347" s="182"/>
      <c r="S347" s="182"/>
    </row>
    <row r="348" spans="1:19" x14ac:dyDescent="0.2">
      <c r="A348" s="188"/>
      <c r="B348" s="178"/>
      <c r="C348" s="178"/>
      <c r="D348" s="187" t="s">
        <v>1133</v>
      </c>
      <c r="G348" s="182"/>
      <c r="H348" s="198"/>
      <c r="I348" s="251"/>
      <c r="J348" s="207">
        <v>8</v>
      </c>
      <c r="K348" s="208"/>
      <c r="L348" s="209" t="s">
        <v>1403</v>
      </c>
      <c r="M348" s="208"/>
      <c r="N348" s="208"/>
      <c r="O348" s="252" t="s">
        <v>1133</v>
      </c>
      <c r="P348" s="182"/>
      <c r="Q348" s="182"/>
      <c r="R348" s="182"/>
      <c r="S348" s="182"/>
    </row>
    <row r="349" spans="1:19" x14ac:dyDescent="0.2">
      <c r="A349" s="188"/>
      <c r="B349" s="178"/>
      <c r="C349" s="178"/>
      <c r="D349" s="187"/>
      <c r="G349" s="182"/>
      <c r="H349" s="198"/>
      <c r="I349" s="207" t="s">
        <v>1085</v>
      </c>
      <c r="J349" s="187"/>
      <c r="K349" s="197" t="s">
        <v>1412</v>
      </c>
      <c r="L349" s="182"/>
      <c r="M349" s="182"/>
      <c r="N349" s="182"/>
      <c r="O349" s="234"/>
      <c r="P349" s="182"/>
      <c r="Q349" s="182"/>
      <c r="R349" s="182"/>
      <c r="S349" s="182"/>
    </row>
    <row r="350" spans="1:19" x14ac:dyDescent="0.2">
      <c r="A350" s="188"/>
      <c r="B350" s="178"/>
      <c r="C350" s="178"/>
      <c r="D350" s="187" t="s">
        <v>1133</v>
      </c>
      <c r="G350" s="182"/>
      <c r="H350" s="198"/>
      <c r="I350" s="187"/>
      <c r="J350" s="204">
        <v>1</v>
      </c>
      <c r="K350" s="182"/>
      <c r="L350" s="197" t="s">
        <v>1410</v>
      </c>
      <c r="M350" s="182"/>
      <c r="N350" s="182"/>
      <c r="O350" s="234" t="s">
        <v>1133</v>
      </c>
      <c r="P350" s="182"/>
      <c r="Q350" s="182"/>
      <c r="R350" s="182"/>
      <c r="S350" s="182"/>
    </row>
    <row r="351" spans="1:19" x14ac:dyDescent="0.2">
      <c r="A351" s="188"/>
      <c r="B351" s="178"/>
      <c r="C351" s="178"/>
      <c r="D351" s="187" t="s">
        <v>1133</v>
      </c>
      <c r="G351" s="182"/>
      <c r="H351" s="198"/>
      <c r="I351" s="187"/>
      <c r="J351" s="204">
        <v>2</v>
      </c>
      <c r="K351" s="182"/>
      <c r="L351" s="197" t="s">
        <v>1231</v>
      </c>
      <c r="M351" s="182"/>
      <c r="N351" s="182"/>
      <c r="O351" s="234" t="s">
        <v>1133</v>
      </c>
      <c r="P351" s="182"/>
      <c r="Q351" s="182"/>
      <c r="R351" s="182"/>
      <c r="S351" s="182"/>
    </row>
    <row r="352" spans="1:19" x14ac:dyDescent="0.2">
      <c r="A352" s="188"/>
      <c r="B352" s="178"/>
      <c r="C352" s="178"/>
      <c r="D352" s="187" t="s">
        <v>1133</v>
      </c>
      <c r="G352" s="182"/>
      <c r="H352" s="198"/>
      <c r="I352" s="187"/>
      <c r="J352" s="204">
        <v>3</v>
      </c>
      <c r="K352" s="182"/>
      <c r="L352" s="197" t="s">
        <v>1413</v>
      </c>
      <c r="M352" s="182"/>
      <c r="N352" s="182"/>
      <c r="O352" s="234" t="s">
        <v>1133</v>
      </c>
      <c r="P352" s="182"/>
      <c r="Q352" s="182"/>
      <c r="R352" s="182"/>
      <c r="S352" s="182"/>
    </row>
    <row r="353" spans="1:19" x14ac:dyDescent="0.2">
      <c r="A353" s="188"/>
      <c r="B353" s="178"/>
      <c r="C353" s="178"/>
      <c r="D353" s="187" t="s">
        <v>1133</v>
      </c>
      <c r="G353" s="182"/>
      <c r="H353" s="198"/>
      <c r="I353" s="187"/>
      <c r="J353" s="204">
        <v>4</v>
      </c>
      <c r="K353" s="182"/>
      <c r="L353" s="197" t="s">
        <v>1411</v>
      </c>
      <c r="M353" s="182"/>
      <c r="N353" s="182"/>
      <c r="O353" s="234" t="s">
        <v>1133</v>
      </c>
      <c r="P353" s="182"/>
      <c r="Q353" s="182"/>
      <c r="R353" s="182"/>
      <c r="S353" s="182"/>
    </row>
    <row r="354" spans="1:19" x14ac:dyDescent="0.2">
      <c r="A354" s="188"/>
      <c r="B354" s="178"/>
      <c r="C354" s="178"/>
      <c r="D354" s="187" t="s">
        <v>1133</v>
      </c>
      <c r="G354" s="182"/>
      <c r="H354" s="198"/>
      <c r="I354" s="187"/>
      <c r="J354" s="204">
        <v>5</v>
      </c>
      <c r="K354" s="182"/>
      <c r="L354" s="197" t="s">
        <v>1342</v>
      </c>
      <c r="M354" s="182"/>
      <c r="N354" s="182"/>
      <c r="O354" s="234" t="s">
        <v>1133</v>
      </c>
      <c r="P354" s="182"/>
      <c r="Q354" s="182"/>
      <c r="R354" s="182"/>
      <c r="S354" s="182"/>
    </row>
    <row r="355" spans="1:19" x14ac:dyDescent="0.2">
      <c r="A355" s="188"/>
      <c r="B355" s="178"/>
      <c r="C355" s="178"/>
      <c r="D355" s="187" t="s">
        <v>1133</v>
      </c>
      <c r="G355" s="182"/>
      <c r="H355" s="198"/>
      <c r="I355" s="187"/>
      <c r="J355" s="204">
        <v>6</v>
      </c>
      <c r="K355" s="182"/>
      <c r="L355" s="197" t="s">
        <v>1414</v>
      </c>
      <c r="M355" s="182"/>
      <c r="N355" s="182"/>
      <c r="O355" s="234" t="s">
        <v>1133</v>
      </c>
      <c r="P355" s="182"/>
      <c r="Q355" s="182"/>
      <c r="R355" s="182"/>
      <c r="S355" s="182"/>
    </row>
    <row r="356" spans="1:19" x14ac:dyDescent="0.2">
      <c r="A356" s="188"/>
      <c r="B356" s="178"/>
      <c r="C356" s="178"/>
      <c r="D356" s="187" t="s">
        <v>1133</v>
      </c>
      <c r="G356" s="182"/>
      <c r="H356" s="198"/>
      <c r="I356" s="187"/>
      <c r="J356" s="204">
        <v>7</v>
      </c>
      <c r="K356" s="182"/>
      <c r="L356" s="197" t="s">
        <v>1415</v>
      </c>
      <c r="M356" s="182"/>
      <c r="N356" s="182"/>
      <c r="O356" s="234" t="s">
        <v>1133</v>
      </c>
      <c r="P356" s="182"/>
      <c r="Q356" s="182"/>
      <c r="R356" s="182"/>
      <c r="S356" s="182"/>
    </row>
    <row r="357" spans="1:19" x14ac:dyDescent="0.2">
      <c r="A357" s="188"/>
      <c r="B357" s="178"/>
      <c r="C357" s="178"/>
      <c r="D357" s="187" t="s">
        <v>1133</v>
      </c>
      <c r="G357" s="182"/>
      <c r="H357" s="198"/>
      <c r="I357" s="187"/>
      <c r="J357" s="204">
        <v>8</v>
      </c>
      <c r="K357" s="182"/>
      <c r="L357" s="197" t="s">
        <v>1416</v>
      </c>
      <c r="M357" s="182"/>
      <c r="N357" s="182"/>
      <c r="O357" s="234" t="s">
        <v>1133</v>
      </c>
      <c r="P357" s="182"/>
      <c r="Q357" s="182"/>
      <c r="R357" s="182"/>
      <c r="S357" s="182"/>
    </row>
    <row r="358" spans="1:19" x14ac:dyDescent="0.2">
      <c r="A358" s="188"/>
      <c r="B358" s="178"/>
      <c r="C358" s="178"/>
      <c r="D358" s="187" t="s">
        <v>1133</v>
      </c>
      <c r="G358" s="182"/>
      <c r="H358" s="198"/>
      <c r="I358" s="212"/>
      <c r="J358" s="207">
        <v>9</v>
      </c>
      <c r="K358" s="208"/>
      <c r="L358" s="209" t="s">
        <v>1403</v>
      </c>
      <c r="M358" s="208"/>
      <c r="N358" s="208"/>
      <c r="O358" s="252" t="s">
        <v>1133</v>
      </c>
      <c r="P358" s="182"/>
      <c r="Q358" s="182"/>
      <c r="R358" s="182"/>
      <c r="S358" s="182"/>
    </row>
    <row r="359" spans="1:19" x14ac:dyDescent="0.2">
      <c r="A359" s="188"/>
      <c r="B359" s="178"/>
      <c r="C359" s="178"/>
      <c r="D359" s="187"/>
      <c r="G359" s="182"/>
      <c r="H359" s="198"/>
      <c r="I359" s="207" t="s">
        <v>1127</v>
      </c>
      <c r="J359" s="187"/>
      <c r="K359" s="197" t="s">
        <v>1417</v>
      </c>
      <c r="L359" s="182"/>
      <c r="M359" s="182"/>
      <c r="N359" s="182"/>
      <c r="O359" s="234"/>
      <c r="P359" s="182"/>
      <c r="Q359" s="182"/>
      <c r="R359" s="182"/>
      <c r="S359" s="182"/>
    </row>
    <row r="360" spans="1:19" x14ac:dyDescent="0.2">
      <c r="A360" s="188"/>
      <c r="B360" s="178"/>
      <c r="C360" s="178"/>
      <c r="D360" s="187" t="s">
        <v>1133</v>
      </c>
      <c r="G360" s="182"/>
      <c r="H360" s="198"/>
      <c r="I360" s="187"/>
      <c r="J360" s="204">
        <v>1</v>
      </c>
      <c r="K360" s="182"/>
      <c r="L360" s="197" t="s">
        <v>1231</v>
      </c>
      <c r="M360" s="182"/>
      <c r="N360" s="182"/>
      <c r="O360" s="234" t="s">
        <v>1133</v>
      </c>
      <c r="P360" s="182"/>
      <c r="Q360" s="182"/>
      <c r="R360" s="182"/>
      <c r="S360" s="182"/>
    </row>
    <row r="361" spans="1:19" x14ac:dyDescent="0.2">
      <c r="A361" s="188"/>
      <c r="B361" s="178"/>
      <c r="C361" s="178"/>
      <c r="D361" s="187" t="s">
        <v>1133</v>
      </c>
      <c r="G361" s="182"/>
      <c r="H361" s="198"/>
      <c r="I361" s="187"/>
      <c r="J361" s="204">
        <v>2</v>
      </c>
      <c r="K361" s="182"/>
      <c r="L361" s="197" t="s">
        <v>1418</v>
      </c>
      <c r="M361" s="182"/>
      <c r="N361" s="182"/>
      <c r="O361" s="234" t="s">
        <v>1133</v>
      </c>
      <c r="P361" s="182"/>
      <c r="Q361" s="182"/>
      <c r="R361" s="182"/>
      <c r="S361" s="182"/>
    </row>
    <row r="362" spans="1:19" x14ac:dyDescent="0.2">
      <c r="A362" s="188"/>
      <c r="B362" s="178"/>
      <c r="C362" s="178"/>
      <c r="D362" s="187" t="s">
        <v>1133</v>
      </c>
      <c r="G362" s="182"/>
      <c r="H362" s="198"/>
      <c r="I362" s="187"/>
      <c r="J362" s="204">
        <v>3</v>
      </c>
      <c r="K362" s="182"/>
      <c r="L362" s="197" t="s">
        <v>1419</v>
      </c>
      <c r="M362" s="182"/>
      <c r="N362" s="182"/>
      <c r="O362" s="234" t="s">
        <v>1133</v>
      </c>
      <c r="P362" s="182"/>
      <c r="Q362" s="182"/>
      <c r="R362" s="182"/>
      <c r="S362" s="182"/>
    </row>
    <row r="363" spans="1:19" x14ac:dyDescent="0.2">
      <c r="A363" s="188"/>
      <c r="B363" s="178"/>
      <c r="C363" s="178"/>
      <c r="D363" s="187" t="s">
        <v>1133</v>
      </c>
      <c r="G363" s="182"/>
      <c r="H363" s="198"/>
      <c r="I363" s="187"/>
      <c r="J363" s="204">
        <v>4</v>
      </c>
      <c r="K363" s="182"/>
      <c r="L363" s="197" t="s">
        <v>1420</v>
      </c>
      <c r="M363" s="182"/>
      <c r="N363" s="182"/>
      <c r="O363" s="234" t="s">
        <v>1133</v>
      </c>
      <c r="P363" s="182"/>
      <c r="Q363" s="182"/>
      <c r="R363" s="182"/>
      <c r="S363" s="182"/>
    </row>
    <row r="364" spans="1:19" x14ac:dyDescent="0.2">
      <c r="A364" s="188"/>
      <c r="B364" s="178"/>
      <c r="C364" s="178"/>
      <c r="D364" s="187" t="s">
        <v>1133</v>
      </c>
      <c r="G364" s="182"/>
      <c r="H364" s="198"/>
      <c r="I364" s="187"/>
      <c r="J364" s="204">
        <v>5</v>
      </c>
      <c r="K364" s="182"/>
      <c r="L364" s="197" t="s">
        <v>1284</v>
      </c>
      <c r="M364" s="182"/>
      <c r="N364" s="182"/>
      <c r="O364" s="234" t="s">
        <v>1133</v>
      </c>
      <c r="P364" s="182"/>
      <c r="Q364" s="182"/>
      <c r="R364" s="182"/>
      <c r="S364" s="182"/>
    </row>
    <row r="365" spans="1:19" x14ac:dyDescent="0.2">
      <c r="A365" s="188"/>
      <c r="B365" s="178"/>
      <c r="C365" s="178"/>
      <c r="D365" s="187" t="s">
        <v>1133</v>
      </c>
      <c r="G365" s="182"/>
      <c r="H365" s="198"/>
      <c r="I365" s="187"/>
      <c r="J365" s="204">
        <v>6</v>
      </c>
      <c r="K365" s="182"/>
      <c r="L365" s="197" t="s">
        <v>1421</v>
      </c>
      <c r="M365" s="182"/>
      <c r="N365" s="182"/>
      <c r="O365" s="234" t="s">
        <v>1133</v>
      </c>
      <c r="P365" s="182"/>
      <c r="Q365" s="182"/>
      <c r="R365" s="182"/>
      <c r="S365" s="182"/>
    </row>
    <row r="366" spans="1:19" x14ac:dyDescent="0.2">
      <c r="A366" s="188"/>
      <c r="B366" s="178"/>
      <c r="C366" s="178"/>
      <c r="D366" s="187" t="s">
        <v>1133</v>
      </c>
      <c r="G366" s="182"/>
      <c r="H366" s="198"/>
      <c r="I366" s="187"/>
      <c r="J366" s="204">
        <v>7</v>
      </c>
      <c r="K366" s="182"/>
      <c r="L366" s="197" t="s">
        <v>1422</v>
      </c>
      <c r="M366" s="182"/>
      <c r="N366" s="182"/>
      <c r="O366" s="234" t="s">
        <v>1133</v>
      </c>
      <c r="P366" s="182"/>
      <c r="Q366" s="182"/>
      <c r="R366" s="182"/>
      <c r="S366" s="182"/>
    </row>
    <row r="367" spans="1:19" x14ac:dyDescent="0.2">
      <c r="A367" s="188"/>
      <c r="B367" s="178"/>
      <c r="C367" s="178"/>
      <c r="D367" s="187" t="s">
        <v>1133</v>
      </c>
      <c r="G367" s="182"/>
      <c r="H367" s="198"/>
      <c r="I367" s="212"/>
      <c r="J367" s="207">
        <v>8</v>
      </c>
      <c r="K367" s="208"/>
      <c r="L367" s="209" t="s">
        <v>1414</v>
      </c>
      <c r="M367" s="208"/>
      <c r="N367" s="208"/>
      <c r="O367" s="252" t="s">
        <v>1133</v>
      </c>
      <c r="P367" s="182"/>
      <c r="Q367" s="182"/>
      <c r="R367" s="182"/>
      <c r="S367" s="182"/>
    </row>
    <row r="368" spans="1:19" x14ac:dyDescent="0.2">
      <c r="A368" s="188"/>
      <c r="B368" s="178"/>
      <c r="C368" s="178"/>
      <c r="D368" s="187"/>
      <c r="G368" s="182"/>
      <c r="H368" s="198"/>
      <c r="I368" s="207" t="s">
        <v>1130</v>
      </c>
      <c r="J368" s="187"/>
      <c r="K368" s="197" t="s">
        <v>1417</v>
      </c>
      <c r="L368" s="182"/>
      <c r="M368" s="182"/>
      <c r="N368" s="182"/>
      <c r="O368" s="234"/>
      <c r="P368" s="182"/>
      <c r="Q368" s="182"/>
      <c r="R368" s="182"/>
      <c r="S368" s="182"/>
    </row>
    <row r="369" spans="1:19" x14ac:dyDescent="0.2">
      <c r="A369" s="188"/>
      <c r="B369" s="178"/>
      <c r="C369" s="178"/>
      <c r="D369" s="187" t="s">
        <v>1133</v>
      </c>
      <c r="G369" s="182"/>
      <c r="H369" s="198"/>
      <c r="I369" s="187"/>
      <c r="J369" s="204">
        <v>9</v>
      </c>
      <c r="K369" s="182"/>
      <c r="L369" s="197" t="s">
        <v>1406</v>
      </c>
      <c r="M369" s="182"/>
      <c r="N369" s="182"/>
      <c r="O369" s="234" t="s">
        <v>1133</v>
      </c>
      <c r="P369" s="182"/>
      <c r="Q369" s="182"/>
      <c r="R369" s="182"/>
      <c r="S369" s="182"/>
    </row>
    <row r="370" spans="1:19" x14ac:dyDescent="0.2">
      <c r="A370" s="188"/>
      <c r="B370" s="178"/>
      <c r="C370" s="178"/>
      <c r="D370" s="187" t="s">
        <v>1133</v>
      </c>
      <c r="G370" s="182"/>
      <c r="H370" s="198"/>
      <c r="I370" s="187"/>
      <c r="J370" s="204">
        <v>10</v>
      </c>
      <c r="K370" s="182"/>
      <c r="L370" s="197" t="s">
        <v>1423</v>
      </c>
      <c r="M370" s="182"/>
      <c r="N370" s="182"/>
      <c r="O370" s="234" t="s">
        <v>1133</v>
      </c>
      <c r="P370" s="182"/>
      <c r="Q370" s="182"/>
      <c r="R370" s="182"/>
      <c r="S370" s="182"/>
    </row>
    <row r="371" spans="1:19" x14ac:dyDescent="0.2">
      <c r="A371" s="188"/>
      <c r="B371" s="178"/>
      <c r="C371" s="178"/>
      <c r="D371" s="187" t="s">
        <v>1133</v>
      </c>
      <c r="G371" s="182"/>
      <c r="H371" s="198"/>
      <c r="I371" s="187"/>
      <c r="J371" s="204">
        <v>11</v>
      </c>
      <c r="K371" s="182"/>
      <c r="L371" s="197" t="s">
        <v>1415</v>
      </c>
      <c r="M371" s="182"/>
      <c r="N371" s="182"/>
      <c r="O371" s="234" t="s">
        <v>1133</v>
      </c>
      <c r="P371" s="182"/>
      <c r="Q371" s="182"/>
      <c r="R371" s="182"/>
      <c r="S371" s="182"/>
    </row>
    <row r="372" spans="1:19" x14ac:dyDescent="0.2">
      <c r="A372" s="188"/>
      <c r="B372" s="178"/>
      <c r="C372" s="178"/>
      <c r="D372" s="187" t="s">
        <v>1133</v>
      </c>
      <c r="G372" s="182"/>
      <c r="H372" s="198"/>
      <c r="I372" s="187"/>
      <c r="J372" s="204">
        <v>12</v>
      </c>
      <c r="K372" s="182"/>
      <c r="L372" s="197" t="s">
        <v>1424</v>
      </c>
      <c r="M372" s="182"/>
      <c r="N372" s="182"/>
      <c r="O372" s="234" t="s">
        <v>1133</v>
      </c>
      <c r="P372" s="182"/>
      <c r="Q372" s="182"/>
      <c r="R372" s="182"/>
      <c r="S372" s="182"/>
    </row>
    <row r="373" spans="1:19" x14ac:dyDescent="0.2">
      <c r="A373" s="188"/>
      <c r="B373" s="178"/>
      <c r="C373" s="178"/>
      <c r="D373" s="187" t="s">
        <v>1133</v>
      </c>
      <c r="G373" s="182"/>
      <c r="H373" s="198"/>
      <c r="I373" s="187"/>
      <c r="J373" s="204">
        <v>13</v>
      </c>
      <c r="K373" s="182"/>
      <c r="L373" s="197" t="s">
        <v>1416</v>
      </c>
      <c r="M373" s="182"/>
      <c r="N373" s="182"/>
      <c r="O373" s="234" t="s">
        <v>1133</v>
      </c>
      <c r="P373" s="182"/>
      <c r="Q373" s="182"/>
      <c r="R373" s="182"/>
      <c r="S373" s="182"/>
    </row>
    <row r="374" spans="1:19" x14ac:dyDescent="0.2">
      <c r="A374" s="188"/>
      <c r="B374" s="178"/>
      <c r="C374" s="178"/>
      <c r="D374" s="187" t="s">
        <v>1133</v>
      </c>
      <c r="G374" s="182"/>
      <c r="H374" s="198"/>
      <c r="I374" s="212"/>
      <c r="J374" s="207">
        <v>14</v>
      </c>
      <c r="K374" s="208"/>
      <c r="L374" s="209" t="s">
        <v>1425</v>
      </c>
      <c r="M374" s="208"/>
      <c r="N374" s="208"/>
      <c r="O374" s="252" t="s">
        <v>1133</v>
      </c>
      <c r="P374" s="182"/>
      <c r="Q374" s="182"/>
      <c r="R374" s="182"/>
      <c r="S374" s="182"/>
    </row>
    <row r="375" spans="1:19" x14ac:dyDescent="0.2">
      <c r="A375" s="188"/>
      <c r="B375" s="178"/>
      <c r="C375" s="178"/>
      <c r="D375" s="187"/>
      <c r="G375" s="182"/>
      <c r="H375" s="198"/>
      <c r="I375" s="207" t="s">
        <v>1134</v>
      </c>
      <c r="J375" s="187"/>
      <c r="K375" s="197" t="s">
        <v>1426</v>
      </c>
      <c r="L375" s="182"/>
      <c r="M375" s="182"/>
      <c r="N375" s="182"/>
      <c r="O375" s="234"/>
      <c r="P375" s="182"/>
      <c r="Q375" s="182"/>
      <c r="R375" s="182"/>
      <c r="S375" s="182"/>
    </row>
    <row r="376" spans="1:19" x14ac:dyDescent="0.2">
      <c r="A376" s="188"/>
      <c r="B376" s="178"/>
      <c r="C376" s="178"/>
      <c r="D376" s="187" t="s">
        <v>1133</v>
      </c>
      <c r="G376" s="182"/>
      <c r="H376" s="198"/>
      <c r="I376" s="187"/>
      <c r="J376" s="204">
        <v>1</v>
      </c>
      <c r="K376" s="182"/>
      <c r="L376" s="197" t="s">
        <v>1231</v>
      </c>
      <c r="M376" s="182"/>
      <c r="N376" s="182"/>
      <c r="O376" s="234" t="s">
        <v>1133</v>
      </c>
      <c r="P376" s="182"/>
      <c r="Q376" s="182"/>
      <c r="R376" s="182"/>
      <c r="S376" s="182"/>
    </row>
    <row r="377" spans="1:19" x14ac:dyDescent="0.2">
      <c r="A377" s="188"/>
      <c r="B377" s="178"/>
      <c r="C377" s="178"/>
      <c r="D377" s="187" t="s">
        <v>1133</v>
      </c>
      <c r="G377" s="182"/>
      <c r="H377" s="198"/>
      <c r="I377" s="187"/>
      <c r="J377" s="204">
        <v>2</v>
      </c>
      <c r="K377" s="182"/>
      <c r="L377" s="197" t="s">
        <v>1418</v>
      </c>
      <c r="M377" s="182"/>
      <c r="N377" s="182"/>
      <c r="O377" s="234" t="s">
        <v>1133</v>
      </c>
      <c r="P377" s="182"/>
      <c r="Q377" s="182"/>
      <c r="R377" s="182"/>
      <c r="S377" s="182"/>
    </row>
    <row r="378" spans="1:19" x14ac:dyDescent="0.2">
      <c r="A378" s="188"/>
      <c r="B378" s="178"/>
      <c r="C378" s="178"/>
      <c r="D378" s="187" t="s">
        <v>1133</v>
      </c>
      <c r="G378" s="182"/>
      <c r="H378" s="198"/>
      <c r="I378" s="187"/>
      <c r="J378" s="204">
        <v>3</v>
      </c>
      <c r="K378" s="182"/>
      <c r="L378" s="197" t="s">
        <v>1419</v>
      </c>
      <c r="M378" s="182"/>
      <c r="N378" s="182"/>
      <c r="O378" s="234" t="s">
        <v>1133</v>
      </c>
      <c r="P378" s="182"/>
      <c r="Q378" s="182"/>
      <c r="R378" s="182"/>
      <c r="S378" s="182"/>
    </row>
    <row r="379" spans="1:19" x14ac:dyDescent="0.2">
      <c r="A379" s="188"/>
      <c r="B379" s="178"/>
      <c r="C379" s="178"/>
      <c r="D379" s="187" t="s">
        <v>1133</v>
      </c>
      <c r="G379" s="182"/>
      <c r="H379" s="198"/>
      <c r="I379" s="187"/>
      <c r="J379" s="204">
        <v>4</v>
      </c>
      <c r="K379" s="182"/>
      <c r="L379" s="197" t="s">
        <v>1420</v>
      </c>
      <c r="M379" s="182"/>
      <c r="N379" s="182"/>
      <c r="O379" s="234" t="s">
        <v>1133</v>
      </c>
      <c r="P379" s="182"/>
      <c r="Q379" s="182"/>
      <c r="R379" s="182"/>
      <c r="S379" s="182"/>
    </row>
    <row r="380" spans="1:19" x14ac:dyDescent="0.2">
      <c r="A380" s="188"/>
      <c r="B380" s="178"/>
      <c r="C380" s="178"/>
      <c r="D380" s="187" t="s">
        <v>1133</v>
      </c>
      <c r="G380" s="182"/>
      <c r="H380" s="198"/>
      <c r="I380" s="187"/>
      <c r="J380" s="204">
        <v>5</v>
      </c>
      <c r="K380" s="182"/>
      <c r="L380" s="197" t="s">
        <v>1284</v>
      </c>
      <c r="M380" s="182"/>
      <c r="N380" s="182"/>
      <c r="O380" s="234" t="s">
        <v>1133</v>
      </c>
      <c r="P380" s="182"/>
      <c r="Q380" s="182"/>
      <c r="R380" s="182"/>
      <c r="S380" s="182"/>
    </row>
    <row r="381" spans="1:19" x14ac:dyDescent="0.2">
      <c r="A381" s="188"/>
      <c r="B381" s="178"/>
      <c r="C381" s="178"/>
      <c r="D381" s="187" t="s">
        <v>1133</v>
      </c>
      <c r="G381" s="182"/>
      <c r="H381" s="198"/>
      <c r="I381" s="187"/>
      <c r="J381" s="204">
        <v>6</v>
      </c>
      <c r="K381" s="182"/>
      <c r="L381" s="197" t="s">
        <v>1421</v>
      </c>
      <c r="M381" s="182"/>
      <c r="N381" s="182"/>
      <c r="O381" s="234" t="s">
        <v>1133</v>
      </c>
      <c r="P381" s="182"/>
      <c r="Q381" s="182"/>
      <c r="R381" s="182"/>
      <c r="S381" s="182"/>
    </row>
    <row r="382" spans="1:19" x14ac:dyDescent="0.2">
      <c r="A382" s="188"/>
      <c r="B382" s="178"/>
      <c r="C382" s="178"/>
      <c r="D382" s="187" t="s">
        <v>1133</v>
      </c>
      <c r="G382" s="182"/>
      <c r="H382" s="198"/>
      <c r="I382" s="187"/>
      <c r="J382" s="204">
        <v>7</v>
      </c>
      <c r="K382" s="182"/>
      <c r="L382" s="197" t="s">
        <v>1427</v>
      </c>
      <c r="M382" s="182"/>
      <c r="N382" s="182"/>
      <c r="O382" s="234" t="s">
        <v>1133</v>
      </c>
      <c r="P382" s="182"/>
      <c r="Q382" s="182"/>
      <c r="R382" s="182"/>
      <c r="S382" s="182"/>
    </row>
    <row r="383" spans="1:19" x14ac:dyDescent="0.2">
      <c r="A383" s="188"/>
      <c r="B383" s="178"/>
      <c r="C383" s="178"/>
      <c r="D383" s="187" t="s">
        <v>1133</v>
      </c>
      <c r="G383" s="182"/>
      <c r="H383" s="198"/>
      <c r="I383" s="187"/>
      <c r="J383" s="204">
        <v>8</v>
      </c>
      <c r="K383" s="182"/>
      <c r="L383" s="197" t="s">
        <v>1414</v>
      </c>
      <c r="M383" s="182"/>
      <c r="N383" s="182"/>
      <c r="O383" s="234" t="s">
        <v>1133</v>
      </c>
      <c r="P383" s="182"/>
      <c r="Q383" s="182"/>
      <c r="R383" s="182"/>
      <c r="S383" s="182"/>
    </row>
    <row r="384" spans="1:19" ht="15.75" thickBot="1" x14ac:dyDescent="0.25">
      <c r="A384" s="188"/>
      <c r="B384" s="178"/>
      <c r="C384" s="178"/>
      <c r="D384" s="187" t="s">
        <v>1133</v>
      </c>
      <c r="G384" s="182"/>
      <c r="H384" s="244"/>
      <c r="I384" s="245"/>
      <c r="J384" s="246">
        <v>9</v>
      </c>
      <c r="K384" s="247"/>
      <c r="L384" s="248" t="s">
        <v>1406</v>
      </c>
      <c r="M384" s="247"/>
      <c r="N384" s="247"/>
      <c r="O384" s="280" t="s">
        <v>1133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1398</v>
      </c>
      <c r="C387" s="178" t="s">
        <v>1399</v>
      </c>
      <c r="D387" s="187"/>
      <c r="G387" s="182"/>
      <c r="H387" s="220">
        <v>43</v>
      </c>
      <c r="I387" s="222"/>
      <c r="J387" s="232"/>
      <c r="K387" s="277" t="s">
        <v>1399</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1134</v>
      </c>
      <c r="J388" s="187"/>
      <c r="K388" s="197" t="s">
        <v>1426</v>
      </c>
      <c r="L388" s="182"/>
      <c r="M388" s="182"/>
      <c r="N388" s="182"/>
      <c r="O388" s="234"/>
      <c r="P388" s="182"/>
      <c r="Q388" s="182"/>
      <c r="R388" s="182"/>
      <c r="S388" s="182"/>
    </row>
    <row r="389" spans="1:19" x14ac:dyDescent="0.2">
      <c r="A389" s="188"/>
      <c r="B389" s="178"/>
      <c r="C389" s="178"/>
      <c r="D389" s="187" t="s">
        <v>1133</v>
      </c>
      <c r="G389" s="182"/>
      <c r="H389" s="198"/>
      <c r="I389" s="187"/>
      <c r="J389" s="204">
        <v>10</v>
      </c>
      <c r="K389" s="182"/>
      <c r="L389" s="197" t="s">
        <v>1423</v>
      </c>
      <c r="M389" s="182"/>
      <c r="N389" s="182"/>
      <c r="O389" s="234" t="s">
        <v>1133</v>
      </c>
      <c r="P389" s="182"/>
      <c r="Q389" s="182"/>
      <c r="R389" s="182"/>
      <c r="S389" s="182"/>
    </row>
    <row r="390" spans="1:19" x14ac:dyDescent="0.2">
      <c r="A390" s="188"/>
      <c r="B390" s="178"/>
      <c r="C390" s="178"/>
      <c r="D390" s="187" t="s">
        <v>1133</v>
      </c>
      <c r="G390" s="182"/>
      <c r="H390" s="198"/>
      <c r="I390" s="187"/>
      <c r="J390" s="204">
        <v>11</v>
      </c>
      <c r="K390" s="182"/>
      <c r="L390" s="197" t="s">
        <v>1415</v>
      </c>
      <c r="M390" s="182"/>
      <c r="N390" s="182"/>
      <c r="O390" s="234" t="s">
        <v>1133</v>
      </c>
      <c r="P390" s="182"/>
      <c r="Q390" s="182"/>
      <c r="R390" s="182"/>
      <c r="S390" s="182"/>
    </row>
    <row r="391" spans="1:19" x14ac:dyDescent="0.2">
      <c r="A391" s="188"/>
      <c r="B391" s="178"/>
      <c r="C391" s="178"/>
      <c r="D391" s="187" t="s">
        <v>1133</v>
      </c>
      <c r="G391" s="182"/>
      <c r="H391" s="198"/>
      <c r="I391" s="187"/>
      <c r="J391" s="204">
        <v>12</v>
      </c>
      <c r="K391" s="182"/>
      <c r="L391" s="197" t="s">
        <v>1424</v>
      </c>
      <c r="M391" s="182"/>
      <c r="N391" s="182"/>
      <c r="O391" s="234" t="s">
        <v>1133</v>
      </c>
      <c r="P391" s="182"/>
      <c r="Q391" s="182"/>
      <c r="R391" s="182"/>
      <c r="S391" s="182"/>
    </row>
    <row r="392" spans="1:19" x14ac:dyDescent="0.2">
      <c r="A392" s="188"/>
      <c r="B392" s="178"/>
      <c r="C392" s="178"/>
      <c r="D392" s="187" t="s">
        <v>1133</v>
      </c>
      <c r="G392" s="182"/>
      <c r="H392" s="198"/>
      <c r="I392" s="187"/>
      <c r="J392" s="204">
        <v>13</v>
      </c>
      <c r="K392" s="182"/>
      <c r="L392" s="197" t="s">
        <v>1416</v>
      </c>
      <c r="M392" s="182"/>
      <c r="N392" s="182"/>
      <c r="O392" s="234" t="s">
        <v>1133</v>
      </c>
      <c r="P392" s="182"/>
      <c r="Q392" s="182"/>
      <c r="R392" s="182"/>
      <c r="S392" s="182"/>
    </row>
    <row r="393" spans="1:19" x14ac:dyDescent="0.2">
      <c r="A393" s="188"/>
      <c r="B393" s="178"/>
      <c r="C393" s="178"/>
      <c r="D393" s="187" t="s">
        <v>1133</v>
      </c>
      <c r="G393" s="182"/>
      <c r="H393" s="198"/>
      <c r="I393" s="212"/>
      <c r="J393" s="207">
        <v>14</v>
      </c>
      <c r="K393" s="208"/>
      <c r="L393" s="209" t="s">
        <v>1425</v>
      </c>
      <c r="M393" s="208"/>
      <c r="N393" s="208"/>
      <c r="O393" s="252" t="s">
        <v>1133</v>
      </c>
      <c r="P393" s="182"/>
      <c r="Q393" s="182"/>
      <c r="R393" s="182"/>
      <c r="S393" s="182"/>
    </row>
    <row r="394" spans="1:19" x14ac:dyDescent="0.2">
      <c r="A394" s="188"/>
      <c r="B394" s="178"/>
      <c r="C394" s="178"/>
      <c r="D394" s="187"/>
      <c r="G394" s="182"/>
      <c r="H394" s="198"/>
      <c r="I394" s="207" t="s">
        <v>1137</v>
      </c>
      <c r="J394" s="187"/>
      <c r="K394" s="197" t="s">
        <v>1428</v>
      </c>
      <c r="L394" s="182"/>
      <c r="M394" s="182"/>
      <c r="N394" s="182"/>
      <c r="O394" s="234"/>
      <c r="P394" s="182"/>
      <c r="Q394" s="182"/>
      <c r="R394" s="182"/>
      <c r="S394" s="182"/>
    </row>
    <row r="395" spans="1:19" x14ac:dyDescent="0.2">
      <c r="A395" s="188"/>
      <c r="B395" s="178"/>
      <c r="C395" s="178"/>
      <c r="D395" s="187" t="s">
        <v>1133</v>
      </c>
      <c r="G395" s="182"/>
      <c r="H395" s="198"/>
      <c r="I395" s="187"/>
      <c r="J395" s="204">
        <v>1</v>
      </c>
      <c r="K395" s="182"/>
      <c r="L395" s="197" t="s">
        <v>1419</v>
      </c>
      <c r="M395" s="182"/>
      <c r="N395" s="182"/>
      <c r="O395" s="234" t="s">
        <v>1133</v>
      </c>
      <c r="P395" s="182"/>
      <c r="Q395" s="182"/>
      <c r="R395" s="182"/>
      <c r="S395" s="182"/>
    </row>
    <row r="396" spans="1:19" x14ac:dyDescent="0.2">
      <c r="A396" s="188"/>
      <c r="B396" s="178"/>
      <c r="C396" s="178"/>
      <c r="D396" s="187" t="s">
        <v>1133</v>
      </c>
      <c r="G396" s="182"/>
      <c r="H396" s="198"/>
      <c r="I396" s="187"/>
      <c r="J396" s="204">
        <v>2</v>
      </c>
      <c r="K396" s="182"/>
      <c r="L396" s="197" t="s">
        <v>1420</v>
      </c>
      <c r="M396" s="182"/>
      <c r="N396" s="182"/>
      <c r="O396" s="234" t="s">
        <v>1133</v>
      </c>
      <c r="P396" s="182"/>
      <c r="Q396" s="182"/>
      <c r="R396" s="182"/>
      <c r="S396" s="182"/>
    </row>
    <row r="397" spans="1:19" x14ac:dyDescent="0.2">
      <c r="A397" s="188"/>
      <c r="B397" s="178"/>
      <c r="C397" s="178"/>
      <c r="D397" s="187" t="s">
        <v>1133</v>
      </c>
      <c r="G397" s="182"/>
      <c r="H397" s="198"/>
      <c r="I397" s="187"/>
      <c r="J397" s="204">
        <v>3</v>
      </c>
      <c r="K397" s="182"/>
      <c r="L397" s="197" t="s">
        <v>1284</v>
      </c>
      <c r="M397" s="182"/>
      <c r="N397" s="182"/>
      <c r="O397" s="234" t="s">
        <v>1133</v>
      </c>
      <c r="P397" s="182"/>
      <c r="Q397" s="182"/>
      <c r="R397" s="182"/>
      <c r="S397" s="182"/>
    </row>
    <row r="398" spans="1:19" x14ac:dyDescent="0.2">
      <c r="A398" s="188"/>
      <c r="B398" s="178"/>
      <c r="C398" s="178"/>
      <c r="D398" s="187" t="s">
        <v>1133</v>
      </c>
      <c r="G398" s="182"/>
      <c r="H398" s="198"/>
      <c r="I398" s="187"/>
      <c r="J398" s="204">
        <v>4</v>
      </c>
      <c r="K398" s="182"/>
      <c r="L398" s="197" t="s">
        <v>1421</v>
      </c>
      <c r="M398" s="182"/>
      <c r="N398" s="182"/>
      <c r="O398" s="234" t="s">
        <v>1133</v>
      </c>
      <c r="P398" s="182"/>
      <c r="Q398" s="182"/>
      <c r="R398" s="182"/>
      <c r="S398" s="182"/>
    </row>
    <row r="399" spans="1:19" x14ac:dyDescent="0.2">
      <c r="A399" s="188"/>
      <c r="B399" s="178"/>
      <c r="C399" s="178"/>
      <c r="D399" s="187" t="s">
        <v>1133</v>
      </c>
      <c r="G399" s="182"/>
      <c r="H399" s="198"/>
      <c r="I399" s="187"/>
      <c r="J399" s="204">
        <v>5</v>
      </c>
      <c r="K399" s="182"/>
      <c r="L399" s="197" t="s">
        <v>1427</v>
      </c>
      <c r="M399" s="182"/>
      <c r="N399" s="182"/>
      <c r="O399" s="234" t="s">
        <v>1133</v>
      </c>
      <c r="P399" s="182"/>
      <c r="Q399" s="182"/>
      <c r="R399" s="182"/>
      <c r="S399" s="182"/>
    </row>
    <row r="400" spans="1:19" x14ac:dyDescent="0.2">
      <c r="A400" s="188"/>
      <c r="B400" s="178"/>
      <c r="C400" s="178"/>
      <c r="D400" s="187" t="s">
        <v>1133</v>
      </c>
      <c r="G400" s="182"/>
      <c r="H400" s="198"/>
      <c r="I400" s="187"/>
      <c r="J400" s="204">
        <v>6</v>
      </c>
      <c r="K400" s="182"/>
      <c r="L400" s="197" t="s">
        <v>1406</v>
      </c>
      <c r="M400" s="182"/>
      <c r="N400" s="182"/>
      <c r="O400" s="234" t="s">
        <v>1133</v>
      </c>
      <c r="P400" s="182"/>
      <c r="Q400" s="182"/>
      <c r="R400" s="182"/>
      <c r="S400" s="182"/>
    </row>
    <row r="401" spans="1:19" x14ac:dyDescent="0.2">
      <c r="A401" s="188"/>
      <c r="B401" s="178"/>
      <c r="C401" s="178"/>
      <c r="D401" s="187" t="s">
        <v>1133</v>
      </c>
      <c r="G401" s="182"/>
      <c r="H401" s="198"/>
      <c r="I401" s="187"/>
      <c r="J401" s="204">
        <v>7</v>
      </c>
      <c r="K401" s="182"/>
      <c r="L401" s="197" t="s">
        <v>1423</v>
      </c>
      <c r="M401" s="182"/>
      <c r="N401" s="182"/>
      <c r="O401" s="234" t="s">
        <v>1133</v>
      </c>
      <c r="P401" s="182"/>
      <c r="Q401" s="182"/>
      <c r="R401" s="182"/>
      <c r="S401" s="182"/>
    </row>
    <row r="402" spans="1:19" x14ac:dyDescent="0.2">
      <c r="A402" s="188"/>
      <c r="B402" s="178"/>
      <c r="C402" s="178"/>
      <c r="D402" s="187" t="s">
        <v>1133</v>
      </c>
      <c r="G402" s="182"/>
      <c r="H402" s="198"/>
      <c r="I402" s="187"/>
      <c r="J402" s="204">
        <v>8</v>
      </c>
      <c r="K402" s="182"/>
      <c r="L402" s="197" t="s">
        <v>1415</v>
      </c>
      <c r="M402" s="182"/>
      <c r="N402" s="182"/>
      <c r="O402" s="234" t="s">
        <v>1133</v>
      </c>
      <c r="P402" s="182"/>
      <c r="Q402" s="182"/>
      <c r="R402" s="182"/>
      <c r="S402" s="182"/>
    </row>
    <row r="403" spans="1:19" x14ac:dyDescent="0.2">
      <c r="A403" s="188"/>
      <c r="B403" s="178"/>
      <c r="C403" s="178"/>
      <c r="D403" s="187" t="s">
        <v>1133</v>
      </c>
      <c r="G403" s="182"/>
      <c r="H403" s="198"/>
      <c r="I403" s="187"/>
      <c r="J403" s="204">
        <v>9</v>
      </c>
      <c r="K403" s="182"/>
      <c r="L403" s="197" t="s">
        <v>1424</v>
      </c>
      <c r="M403" s="182"/>
      <c r="N403" s="182"/>
      <c r="O403" s="234" t="s">
        <v>1133</v>
      </c>
      <c r="P403" s="182"/>
      <c r="Q403" s="182"/>
      <c r="R403" s="182"/>
      <c r="S403" s="182"/>
    </row>
    <row r="404" spans="1:19" ht="15.75" thickBot="1" x14ac:dyDescent="0.25">
      <c r="A404" s="188"/>
      <c r="B404" s="178"/>
      <c r="C404" s="178"/>
      <c r="D404" s="187" t="s">
        <v>1133</v>
      </c>
      <c r="G404" s="182"/>
      <c r="H404" s="213"/>
      <c r="I404" s="214"/>
      <c r="J404" s="215">
        <v>10</v>
      </c>
      <c r="K404" s="216"/>
      <c r="L404" s="217" t="s">
        <v>1425</v>
      </c>
      <c r="M404" s="216"/>
      <c r="N404" s="216"/>
      <c r="O404" s="278" t="s">
        <v>1133</v>
      </c>
      <c r="P404" s="182"/>
      <c r="Q404" s="182"/>
      <c r="R404" s="182"/>
      <c r="S404" s="182"/>
    </row>
    <row r="405" spans="1:19" ht="15.75" thickTop="1" x14ac:dyDescent="0.2">
      <c r="A405" s="188">
        <v>44</v>
      </c>
      <c r="B405" s="178" t="s">
        <v>1429</v>
      </c>
      <c r="C405" s="178" t="s">
        <v>1430</v>
      </c>
      <c r="D405" s="187"/>
      <c r="G405" s="182"/>
      <c r="H405" s="220">
        <v>44</v>
      </c>
      <c r="I405" s="222"/>
      <c r="J405" s="232"/>
      <c r="K405" s="277" t="s">
        <v>1430</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1022</v>
      </c>
      <c r="J406" s="187"/>
      <c r="K406" s="197" t="s">
        <v>1400</v>
      </c>
      <c r="L406" s="182"/>
      <c r="M406" s="182"/>
      <c r="N406" s="182"/>
      <c r="O406" s="234"/>
      <c r="P406" s="182"/>
      <c r="Q406" s="182"/>
      <c r="R406" s="182"/>
      <c r="S406" s="182"/>
    </row>
    <row r="407" spans="1:19" x14ac:dyDescent="0.2">
      <c r="A407" s="188"/>
      <c r="B407" s="178"/>
      <c r="C407" s="178"/>
      <c r="D407" s="187" t="s">
        <v>1133</v>
      </c>
      <c r="G407" s="182"/>
      <c r="H407" s="198"/>
      <c r="I407" s="187"/>
      <c r="J407" s="204">
        <v>1</v>
      </c>
      <c r="K407" s="182"/>
      <c r="L407" s="197" t="s">
        <v>1231</v>
      </c>
      <c r="M407" s="182"/>
      <c r="N407" s="182"/>
      <c r="O407" s="234" t="s">
        <v>1133</v>
      </c>
      <c r="P407" s="182"/>
      <c r="Q407" s="182"/>
      <c r="R407" s="182"/>
      <c r="S407" s="182"/>
    </row>
    <row r="408" spans="1:19" x14ac:dyDescent="0.2">
      <c r="A408" s="188"/>
      <c r="B408" s="178"/>
      <c r="C408" s="178"/>
      <c r="D408" s="187" t="s">
        <v>1133</v>
      </c>
      <c r="G408" s="182"/>
      <c r="H408" s="198"/>
      <c r="I408" s="187"/>
      <c r="J408" s="204">
        <v>2</v>
      </c>
      <c r="K408" s="182"/>
      <c r="L408" s="197" t="s">
        <v>1402</v>
      </c>
      <c r="M408" s="182"/>
      <c r="N408" s="182"/>
      <c r="O408" s="234" t="s">
        <v>1133</v>
      </c>
      <c r="P408" s="182"/>
      <c r="Q408" s="182"/>
      <c r="R408" s="182"/>
      <c r="S408" s="182"/>
    </row>
    <row r="409" spans="1:19" x14ac:dyDescent="0.2">
      <c r="A409" s="188"/>
      <c r="B409" s="178"/>
      <c r="C409" s="178"/>
      <c r="D409" s="187" t="s">
        <v>1133</v>
      </c>
      <c r="G409" s="182"/>
      <c r="H409" s="198"/>
      <c r="I409" s="187"/>
      <c r="J409" s="204">
        <v>3</v>
      </c>
      <c r="K409" s="182"/>
      <c r="L409" s="197" t="s">
        <v>1431</v>
      </c>
      <c r="M409" s="182"/>
      <c r="N409" s="182"/>
      <c r="O409" s="234" t="s">
        <v>1133</v>
      </c>
      <c r="P409" s="182"/>
      <c r="Q409" s="182"/>
      <c r="R409" s="182"/>
      <c r="S409" s="182"/>
    </row>
    <row r="410" spans="1:19" x14ac:dyDescent="0.2">
      <c r="A410" s="188"/>
      <c r="B410" s="178"/>
      <c r="C410" s="178"/>
      <c r="D410" s="187" t="s">
        <v>1133</v>
      </c>
      <c r="G410" s="182"/>
      <c r="H410" s="198"/>
      <c r="I410" s="187"/>
      <c r="J410" s="204">
        <v>4</v>
      </c>
      <c r="K410" s="182"/>
      <c r="L410" s="197" t="s">
        <v>1382</v>
      </c>
      <c r="M410" s="182"/>
      <c r="N410" s="182"/>
      <c r="O410" s="234" t="s">
        <v>1133</v>
      </c>
      <c r="P410" s="182"/>
      <c r="Q410" s="182"/>
      <c r="R410" s="182"/>
      <c r="S410" s="182"/>
    </row>
    <row r="411" spans="1:19" x14ac:dyDescent="0.2">
      <c r="A411" s="188"/>
      <c r="B411" s="178"/>
      <c r="C411" s="178"/>
      <c r="D411" s="187" t="s">
        <v>1133</v>
      </c>
      <c r="G411" s="182"/>
      <c r="H411" s="198"/>
      <c r="I411" s="212"/>
      <c r="J411" s="207">
        <v>5</v>
      </c>
      <c r="K411" s="208"/>
      <c r="L411" s="209" t="s">
        <v>1403</v>
      </c>
      <c r="M411" s="208"/>
      <c r="N411" s="208"/>
      <c r="O411" s="252" t="s">
        <v>1133</v>
      </c>
      <c r="P411" s="182"/>
      <c r="Q411" s="182"/>
      <c r="R411" s="182"/>
      <c r="S411" s="182"/>
    </row>
    <row r="412" spans="1:19" x14ac:dyDescent="0.2">
      <c r="A412" s="188"/>
      <c r="B412" s="178"/>
      <c r="C412" s="178"/>
      <c r="D412" s="187"/>
      <c r="G412" s="182"/>
      <c r="H412" s="198"/>
      <c r="I412" s="207" t="s">
        <v>1049</v>
      </c>
      <c r="J412" s="187"/>
      <c r="K412" s="197" t="s">
        <v>1404</v>
      </c>
      <c r="L412" s="182"/>
      <c r="M412" s="182"/>
      <c r="N412" s="182"/>
      <c r="O412" s="234"/>
      <c r="P412" s="182"/>
      <c r="Q412" s="182"/>
      <c r="R412" s="182"/>
      <c r="S412" s="182"/>
    </row>
    <row r="413" spans="1:19" x14ac:dyDescent="0.2">
      <c r="A413" s="188"/>
      <c r="B413" s="178"/>
      <c r="C413" s="178"/>
      <c r="D413" s="187" t="s">
        <v>1133</v>
      </c>
      <c r="G413" s="182"/>
      <c r="H413" s="198"/>
      <c r="I413" s="187"/>
      <c r="J413" s="204">
        <v>1</v>
      </c>
      <c r="K413" s="182"/>
      <c r="L413" s="197" t="s">
        <v>1231</v>
      </c>
      <c r="M413" s="182"/>
      <c r="N413" s="182"/>
      <c r="O413" s="234" t="s">
        <v>1133</v>
      </c>
      <c r="P413" s="182"/>
      <c r="Q413" s="182"/>
      <c r="R413" s="182"/>
      <c r="S413" s="182"/>
    </row>
    <row r="414" spans="1:19" x14ac:dyDescent="0.2">
      <c r="A414" s="188"/>
      <c r="B414" s="178"/>
      <c r="C414" s="178"/>
      <c r="D414" s="187" t="s">
        <v>1133</v>
      </c>
      <c r="G414" s="182"/>
      <c r="H414" s="198"/>
      <c r="I414" s="187"/>
      <c r="J414" s="204">
        <v>2</v>
      </c>
      <c r="K414" s="182"/>
      <c r="L414" s="197" t="s">
        <v>1405</v>
      </c>
      <c r="M414" s="182"/>
      <c r="N414" s="182"/>
      <c r="O414" s="234" t="s">
        <v>1133</v>
      </c>
      <c r="P414" s="182"/>
      <c r="Q414" s="182"/>
      <c r="R414" s="182"/>
      <c r="S414" s="182"/>
    </row>
    <row r="415" spans="1:19" x14ac:dyDescent="0.2">
      <c r="A415" s="188"/>
      <c r="B415" s="178"/>
      <c r="C415" s="178"/>
      <c r="D415" s="187" t="s">
        <v>1133</v>
      </c>
      <c r="G415" s="182"/>
      <c r="H415" s="198"/>
      <c r="I415" s="187"/>
      <c r="J415" s="204">
        <v>3</v>
      </c>
      <c r="K415" s="182"/>
      <c r="L415" s="197" t="s">
        <v>1406</v>
      </c>
      <c r="M415" s="182"/>
      <c r="N415" s="182"/>
      <c r="O415" s="234" t="s">
        <v>1133</v>
      </c>
      <c r="P415" s="182"/>
      <c r="Q415" s="182"/>
      <c r="R415" s="182"/>
      <c r="S415" s="182"/>
    </row>
    <row r="416" spans="1:19" x14ac:dyDescent="0.2">
      <c r="A416" s="188"/>
      <c r="B416" s="178"/>
      <c r="C416" s="178"/>
      <c r="D416" s="187" t="s">
        <v>1133</v>
      </c>
      <c r="G416" s="182"/>
      <c r="H416" s="198"/>
      <c r="I416" s="300"/>
      <c r="J416" s="204">
        <v>4</v>
      </c>
      <c r="K416" s="182"/>
      <c r="L416" s="197" t="s">
        <v>1407</v>
      </c>
      <c r="M416" s="182"/>
      <c r="N416" s="182"/>
      <c r="O416" s="234" t="s">
        <v>1133</v>
      </c>
      <c r="P416" s="182"/>
      <c r="Q416" s="182"/>
      <c r="R416" s="182"/>
      <c r="S416" s="182"/>
    </row>
    <row r="417" spans="1:19" x14ac:dyDescent="0.2">
      <c r="A417" s="188"/>
      <c r="B417" s="178"/>
      <c r="C417" s="178"/>
      <c r="D417" s="187" t="s">
        <v>1133</v>
      </c>
      <c r="G417" s="182"/>
      <c r="H417" s="198"/>
      <c r="I417" s="187"/>
      <c r="J417" s="204">
        <v>5</v>
      </c>
      <c r="K417" s="182"/>
      <c r="L417" s="197" t="s">
        <v>1408</v>
      </c>
      <c r="M417" s="182"/>
      <c r="N417" s="182"/>
      <c r="O417" s="234" t="s">
        <v>1133</v>
      </c>
      <c r="P417" s="182"/>
      <c r="Q417" s="182"/>
      <c r="R417" s="182"/>
      <c r="S417" s="182"/>
    </row>
    <row r="418" spans="1:19" x14ac:dyDescent="0.2">
      <c r="A418" s="188"/>
      <c r="B418" s="178"/>
      <c r="C418" s="178"/>
      <c r="D418" s="187" t="s">
        <v>1133</v>
      </c>
      <c r="G418" s="182"/>
      <c r="H418" s="198"/>
      <c r="I418" s="212"/>
      <c r="J418" s="207">
        <v>6</v>
      </c>
      <c r="K418" s="208"/>
      <c r="L418" s="209" t="s">
        <v>1403</v>
      </c>
      <c r="M418" s="208"/>
      <c r="N418" s="208"/>
      <c r="O418" s="252" t="s">
        <v>1133</v>
      </c>
      <c r="P418" s="182"/>
      <c r="Q418" s="182"/>
      <c r="R418" s="182"/>
      <c r="S418" s="182"/>
    </row>
    <row r="419" spans="1:19" x14ac:dyDescent="0.2">
      <c r="A419" s="188"/>
      <c r="B419" s="178"/>
      <c r="C419" s="178"/>
      <c r="D419" s="187"/>
      <c r="G419" s="182"/>
      <c r="H419" s="198"/>
      <c r="I419" s="207" t="s">
        <v>1059</v>
      </c>
      <c r="J419" s="187"/>
      <c r="K419" s="197" t="s">
        <v>1409</v>
      </c>
      <c r="L419" s="182"/>
      <c r="M419" s="182"/>
      <c r="N419" s="182"/>
      <c r="O419" s="234"/>
      <c r="P419" s="182"/>
      <c r="Q419" s="182"/>
      <c r="R419" s="182"/>
      <c r="S419" s="182"/>
    </row>
    <row r="420" spans="1:19" x14ac:dyDescent="0.2">
      <c r="A420" s="188"/>
      <c r="B420" s="178"/>
      <c r="C420" s="178"/>
      <c r="D420" s="187" t="s">
        <v>1133</v>
      </c>
      <c r="G420" s="182"/>
      <c r="H420" s="198"/>
      <c r="I420" s="187"/>
      <c r="J420" s="204">
        <v>1</v>
      </c>
      <c r="K420" s="182"/>
      <c r="L420" s="197" t="s">
        <v>1410</v>
      </c>
      <c r="M420" s="182"/>
      <c r="N420" s="182"/>
      <c r="O420" s="234" t="s">
        <v>1133</v>
      </c>
      <c r="P420" s="182"/>
      <c r="Q420" s="182"/>
      <c r="R420" s="182"/>
      <c r="S420" s="182"/>
    </row>
    <row r="421" spans="1:19" x14ac:dyDescent="0.2">
      <c r="A421" s="188"/>
      <c r="B421" s="178"/>
      <c r="C421" s="178"/>
      <c r="D421" s="187" t="s">
        <v>1133</v>
      </c>
      <c r="G421" s="182"/>
      <c r="H421" s="198"/>
      <c r="I421" s="187"/>
      <c r="J421" s="204">
        <v>2</v>
      </c>
      <c r="K421" s="182"/>
      <c r="L421" s="197" t="s">
        <v>1231</v>
      </c>
      <c r="M421" s="182"/>
      <c r="N421" s="182"/>
      <c r="O421" s="234" t="s">
        <v>1133</v>
      </c>
      <c r="P421" s="182"/>
      <c r="Q421" s="182"/>
      <c r="R421" s="182"/>
      <c r="S421" s="182"/>
    </row>
    <row r="422" spans="1:19" x14ac:dyDescent="0.2">
      <c r="A422" s="188"/>
      <c r="B422" s="178"/>
      <c r="C422" s="178"/>
      <c r="D422" s="187" t="s">
        <v>1133</v>
      </c>
      <c r="G422" s="182"/>
      <c r="H422" s="198"/>
      <c r="I422" s="187"/>
      <c r="J422" s="204">
        <v>3</v>
      </c>
      <c r="K422" s="182"/>
      <c r="L422" s="197" t="s">
        <v>1411</v>
      </c>
      <c r="M422" s="182"/>
      <c r="N422" s="182"/>
      <c r="O422" s="234" t="s">
        <v>1133</v>
      </c>
      <c r="P422" s="182"/>
      <c r="Q422" s="182"/>
      <c r="R422" s="182"/>
      <c r="S422" s="182"/>
    </row>
    <row r="423" spans="1:19" x14ac:dyDescent="0.2">
      <c r="A423" s="188"/>
      <c r="B423" s="178"/>
      <c r="C423" s="178"/>
      <c r="D423" s="187" t="s">
        <v>1133</v>
      </c>
      <c r="G423" s="182"/>
      <c r="H423" s="198"/>
      <c r="I423" s="187"/>
      <c r="J423" s="204">
        <v>4</v>
      </c>
      <c r="K423" s="182"/>
      <c r="L423" s="197" t="s">
        <v>1342</v>
      </c>
      <c r="M423" s="182"/>
      <c r="N423" s="182"/>
      <c r="O423" s="234" t="s">
        <v>1133</v>
      </c>
      <c r="P423" s="182"/>
      <c r="Q423" s="182"/>
      <c r="R423" s="182"/>
      <c r="S423" s="182"/>
    </row>
    <row r="424" spans="1:19" x14ac:dyDescent="0.2">
      <c r="A424" s="188"/>
      <c r="B424" s="178"/>
      <c r="C424" s="178"/>
      <c r="D424" s="187" t="s">
        <v>1133</v>
      </c>
      <c r="G424" s="182"/>
      <c r="H424" s="198"/>
      <c r="I424" s="212"/>
      <c r="J424" s="207">
        <v>5</v>
      </c>
      <c r="K424" s="208"/>
      <c r="L424" s="209" t="s">
        <v>1403</v>
      </c>
      <c r="M424" s="208"/>
      <c r="N424" s="208"/>
      <c r="O424" s="252" t="s">
        <v>1133</v>
      </c>
      <c r="P424" s="182"/>
      <c r="Q424" s="182"/>
      <c r="R424" s="182"/>
      <c r="S424" s="182"/>
    </row>
    <row r="425" spans="1:19" x14ac:dyDescent="0.2">
      <c r="A425" s="188"/>
      <c r="B425" s="178"/>
      <c r="C425" s="178"/>
      <c r="D425" s="187"/>
      <c r="G425" s="182"/>
      <c r="H425" s="198"/>
      <c r="I425" s="207" t="s">
        <v>1085</v>
      </c>
      <c r="J425" s="187"/>
      <c r="K425" s="197" t="s">
        <v>1412</v>
      </c>
      <c r="L425" s="182"/>
      <c r="M425" s="182"/>
      <c r="N425" s="182"/>
      <c r="O425" s="234"/>
      <c r="P425" s="182"/>
      <c r="Q425" s="182"/>
      <c r="R425" s="182"/>
      <c r="S425" s="182"/>
    </row>
    <row r="426" spans="1:19" x14ac:dyDescent="0.2">
      <c r="A426" s="188"/>
      <c r="B426" s="178"/>
      <c r="C426" s="178"/>
      <c r="D426" s="187" t="s">
        <v>1133</v>
      </c>
      <c r="G426" s="182"/>
      <c r="H426" s="198"/>
      <c r="I426" s="187"/>
      <c r="J426" s="204">
        <v>1</v>
      </c>
      <c r="K426" s="182"/>
      <c r="L426" s="197" t="s">
        <v>1410</v>
      </c>
      <c r="M426" s="182"/>
      <c r="N426" s="182"/>
      <c r="O426" s="234" t="s">
        <v>1133</v>
      </c>
      <c r="P426" s="182"/>
      <c r="Q426" s="182"/>
      <c r="R426" s="182"/>
      <c r="S426" s="182"/>
    </row>
    <row r="427" spans="1:19" x14ac:dyDescent="0.2">
      <c r="A427" s="188"/>
      <c r="B427" s="178"/>
      <c r="C427" s="178"/>
      <c r="D427" s="187" t="s">
        <v>1133</v>
      </c>
      <c r="G427" s="182"/>
      <c r="H427" s="198"/>
      <c r="I427" s="187"/>
      <c r="J427" s="204">
        <v>2</v>
      </c>
      <c r="K427" s="182"/>
      <c r="L427" s="197" t="s">
        <v>1231</v>
      </c>
      <c r="M427" s="182"/>
      <c r="N427" s="182"/>
      <c r="O427" s="234" t="s">
        <v>1133</v>
      </c>
      <c r="P427" s="182"/>
      <c r="Q427" s="182"/>
      <c r="R427" s="182"/>
      <c r="S427" s="182"/>
    </row>
    <row r="428" spans="1:19" x14ac:dyDescent="0.2">
      <c r="A428" s="188"/>
      <c r="B428" s="178"/>
      <c r="C428" s="178"/>
      <c r="D428" s="187" t="s">
        <v>1133</v>
      </c>
      <c r="G428" s="182"/>
      <c r="H428" s="198"/>
      <c r="I428" s="187"/>
      <c r="J428" s="204">
        <v>3</v>
      </c>
      <c r="K428" s="182"/>
      <c r="L428" s="197" t="s">
        <v>1413</v>
      </c>
      <c r="M428" s="182"/>
      <c r="N428" s="182"/>
      <c r="O428" s="234" t="s">
        <v>1133</v>
      </c>
      <c r="P428" s="182"/>
      <c r="Q428" s="182"/>
      <c r="R428" s="182"/>
      <c r="S428" s="182"/>
    </row>
    <row r="429" spans="1:19" x14ac:dyDescent="0.2">
      <c r="A429" s="188"/>
      <c r="B429" s="178"/>
      <c r="C429" s="178"/>
      <c r="D429" s="187" t="s">
        <v>1133</v>
      </c>
      <c r="G429" s="182"/>
      <c r="H429" s="198"/>
      <c r="I429" s="187"/>
      <c r="J429" s="204">
        <v>4</v>
      </c>
      <c r="K429" s="182"/>
      <c r="L429" s="197" t="s">
        <v>1411</v>
      </c>
      <c r="M429" s="182"/>
      <c r="N429" s="182"/>
      <c r="O429" s="234" t="s">
        <v>1133</v>
      </c>
      <c r="P429" s="182"/>
      <c r="Q429" s="182"/>
      <c r="R429" s="182"/>
      <c r="S429" s="182"/>
    </row>
    <row r="430" spans="1:19" x14ac:dyDescent="0.2">
      <c r="A430" s="188"/>
      <c r="B430" s="178"/>
      <c r="C430" s="178"/>
      <c r="D430" s="187" t="s">
        <v>1133</v>
      </c>
      <c r="G430" s="182"/>
      <c r="H430" s="198"/>
      <c r="I430" s="187"/>
      <c r="J430" s="204">
        <v>5</v>
      </c>
      <c r="K430" s="182"/>
      <c r="L430" s="197" t="s">
        <v>1342</v>
      </c>
      <c r="M430" s="182"/>
      <c r="N430" s="182"/>
      <c r="O430" s="234" t="s">
        <v>1133</v>
      </c>
      <c r="P430" s="182"/>
      <c r="Q430" s="182"/>
      <c r="R430" s="182"/>
      <c r="S430" s="182"/>
    </row>
    <row r="431" spans="1:19" x14ac:dyDescent="0.2">
      <c r="A431" s="188"/>
      <c r="B431" s="178"/>
      <c r="C431" s="178"/>
      <c r="D431" s="187" t="s">
        <v>1133</v>
      </c>
      <c r="G431" s="182"/>
      <c r="H431" s="198"/>
      <c r="I431" s="187"/>
      <c r="J431" s="204">
        <v>6</v>
      </c>
      <c r="K431" s="182"/>
      <c r="L431" s="197" t="s">
        <v>1414</v>
      </c>
      <c r="M431" s="182"/>
      <c r="N431" s="182"/>
      <c r="O431" s="234" t="s">
        <v>1133</v>
      </c>
      <c r="P431" s="182"/>
      <c r="Q431" s="182"/>
      <c r="R431" s="182"/>
      <c r="S431" s="182"/>
    </row>
    <row r="432" spans="1:19" ht="15.75" thickBot="1" x14ac:dyDescent="0.25">
      <c r="A432" s="188"/>
      <c r="B432" s="178"/>
      <c r="C432" s="178"/>
      <c r="D432" s="187" t="s">
        <v>1133</v>
      </c>
      <c r="G432" s="182"/>
      <c r="H432" s="244"/>
      <c r="I432" s="245"/>
      <c r="J432" s="246">
        <v>7</v>
      </c>
      <c r="K432" s="247"/>
      <c r="L432" s="248" t="s">
        <v>1415</v>
      </c>
      <c r="M432" s="247"/>
      <c r="N432" s="247"/>
      <c r="O432" s="280" t="s">
        <v>1133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1429</v>
      </c>
      <c r="C435" s="178" t="s">
        <v>1430</v>
      </c>
      <c r="D435" s="187"/>
      <c r="G435" s="182"/>
      <c r="H435" s="220">
        <v>44</v>
      </c>
      <c r="I435" s="222"/>
      <c r="J435" s="232"/>
      <c r="K435" s="277" t="s">
        <v>1430</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1085</v>
      </c>
      <c r="J436" s="187"/>
      <c r="K436" s="197" t="s">
        <v>1412</v>
      </c>
      <c r="L436" s="197"/>
      <c r="M436" s="182"/>
      <c r="N436" s="182"/>
      <c r="O436" s="185"/>
      <c r="P436" s="182"/>
      <c r="Q436" s="182"/>
      <c r="R436" s="182"/>
      <c r="S436" s="182"/>
    </row>
    <row r="437" spans="1:19" x14ac:dyDescent="0.2">
      <c r="A437" s="188"/>
      <c r="B437" s="178"/>
      <c r="C437" s="178"/>
      <c r="D437" s="187" t="s">
        <v>1133</v>
      </c>
      <c r="G437" s="182"/>
      <c r="H437" s="198"/>
      <c r="I437" s="187"/>
      <c r="J437" s="204">
        <v>8</v>
      </c>
      <c r="K437" s="182"/>
      <c r="L437" s="197" t="s">
        <v>1416</v>
      </c>
      <c r="M437" s="182"/>
      <c r="N437" s="182"/>
      <c r="O437" s="234" t="s">
        <v>1133</v>
      </c>
      <c r="P437" s="182"/>
      <c r="Q437" s="182"/>
      <c r="R437" s="182"/>
      <c r="S437" s="182"/>
    </row>
    <row r="438" spans="1:19" x14ac:dyDescent="0.2">
      <c r="A438" s="188"/>
      <c r="B438" s="178"/>
      <c r="C438" s="178"/>
      <c r="D438" s="187" t="s">
        <v>1133</v>
      </c>
      <c r="G438" s="182"/>
      <c r="H438" s="198"/>
      <c r="I438" s="212"/>
      <c r="J438" s="207">
        <v>9</v>
      </c>
      <c r="K438" s="208"/>
      <c r="L438" s="209" t="s">
        <v>1403</v>
      </c>
      <c r="M438" s="208"/>
      <c r="N438" s="208"/>
      <c r="O438" s="252" t="s">
        <v>1133</v>
      </c>
      <c r="P438" s="182"/>
      <c r="Q438" s="182"/>
      <c r="R438" s="182"/>
      <c r="S438" s="182"/>
    </row>
    <row r="439" spans="1:19" x14ac:dyDescent="0.2">
      <c r="A439" s="188"/>
      <c r="B439" s="178"/>
      <c r="C439" s="178"/>
      <c r="D439" s="187"/>
      <c r="G439" s="182"/>
      <c r="H439" s="198"/>
      <c r="I439" s="207" t="s">
        <v>1127</v>
      </c>
      <c r="J439" s="187"/>
      <c r="K439" s="197" t="s">
        <v>1417</v>
      </c>
      <c r="L439" s="182"/>
      <c r="M439" s="182"/>
      <c r="N439" s="182"/>
      <c r="O439" s="234"/>
      <c r="P439" s="182"/>
      <c r="Q439" s="182"/>
      <c r="R439" s="182"/>
      <c r="S439" s="182"/>
    </row>
    <row r="440" spans="1:19" x14ac:dyDescent="0.2">
      <c r="A440" s="188"/>
      <c r="B440" s="178"/>
      <c r="C440" s="178"/>
      <c r="D440" s="187" t="s">
        <v>1133</v>
      </c>
      <c r="G440" s="182"/>
      <c r="H440" s="198"/>
      <c r="I440" s="187"/>
      <c r="J440" s="204">
        <v>1</v>
      </c>
      <c r="K440" s="182"/>
      <c r="L440" s="197" t="s">
        <v>1231</v>
      </c>
      <c r="M440" s="182"/>
      <c r="N440" s="182"/>
      <c r="O440" s="234" t="s">
        <v>1133</v>
      </c>
      <c r="P440" s="182"/>
      <c r="Q440" s="182"/>
      <c r="R440" s="182"/>
      <c r="S440" s="182"/>
    </row>
    <row r="441" spans="1:19" x14ac:dyDescent="0.2">
      <c r="A441" s="188"/>
      <c r="B441" s="178"/>
      <c r="C441" s="178"/>
      <c r="D441" s="187" t="s">
        <v>1133</v>
      </c>
      <c r="G441" s="182"/>
      <c r="H441" s="198"/>
      <c r="I441" s="187"/>
      <c r="J441" s="204">
        <v>2</v>
      </c>
      <c r="K441" s="182"/>
      <c r="L441" s="197" t="s">
        <v>1418</v>
      </c>
      <c r="M441" s="182"/>
      <c r="N441" s="182"/>
      <c r="O441" s="234" t="s">
        <v>1133</v>
      </c>
      <c r="P441" s="182"/>
      <c r="Q441" s="182"/>
      <c r="R441" s="182"/>
      <c r="S441" s="182"/>
    </row>
    <row r="442" spans="1:19" x14ac:dyDescent="0.2">
      <c r="A442" s="188"/>
      <c r="B442" s="178"/>
      <c r="C442" s="178"/>
      <c r="D442" s="187" t="s">
        <v>1133</v>
      </c>
      <c r="G442" s="182"/>
      <c r="H442" s="198"/>
      <c r="I442" s="187"/>
      <c r="J442" s="204">
        <v>3</v>
      </c>
      <c r="K442" s="182"/>
      <c r="L442" s="197" t="s">
        <v>1419</v>
      </c>
      <c r="M442" s="182"/>
      <c r="N442" s="182"/>
      <c r="O442" s="234" t="s">
        <v>1133</v>
      </c>
      <c r="P442" s="182"/>
      <c r="Q442" s="182"/>
      <c r="R442" s="182"/>
      <c r="S442" s="182"/>
    </row>
    <row r="443" spans="1:19" x14ac:dyDescent="0.2">
      <c r="A443" s="188"/>
      <c r="B443" s="178"/>
      <c r="C443" s="178"/>
      <c r="D443" s="187" t="s">
        <v>1133</v>
      </c>
      <c r="G443" s="182"/>
      <c r="H443" s="198"/>
      <c r="I443" s="187"/>
      <c r="J443" s="204">
        <v>4</v>
      </c>
      <c r="K443" s="182"/>
      <c r="L443" s="197" t="s">
        <v>1420</v>
      </c>
      <c r="M443" s="182"/>
      <c r="N443" s="182"/>
      <c r="O443" s="234" t="s">
        <v>1133</v>
      </c>
      <c r="P443" s="182"/>
      <c r="Q443" s="182"/>
      <c r="R443" s="182"/>
      <c r="S443" s="182"/>
    </row>
    <row r="444" spans="1:19" x14ac:dyDescent="0.2">
      <c r="A444" s="188"/>
      <c r="B444" s="178"/>
      <c r="C444" s="178"/>
      <c r="D444" s="187" t="s">
        <v>1133</v>
      </c>
      <c r="G444" s="182"/>
      <c r="H444" s="198"/>
      <c r="I444" s="187"/>
      <c r="J444" s="204">
        <v>5</v>
      </c>
      <c r="K444" s="182"/>
      <c r="L444" s="197" t="s">
        <v>1284</v>
      </c>
      <c r="M444" s="182"/>
      <c r="N444" s="182"/>
      <c r="O444" s="234" t="s">
        <v>1133</v>
      </c>
      <c r="P444" s="182"/>
      <c r="Q444" s="182"/>
      <c r="R444" s="182"/>
      <c r="S444" s="182"/>
    </row>
    <row r="445" spans="1:19" x14ac:dyDescent="0.2">
      <c r="A445" s="188"/>
      <c r="B445" s="178"/>
      <c r="C445" s="178"/>
      <c r="D445" s="187" t="s">
        <v>1133</v>
      </c>
      <c r="G445" s="182"/>
      <c r="H445" s="198"/>
      <c r="I445" s="187"/>
      <c r="J445" s="204">
        <v>6</v>
      </c>
      <c r="K445" s="182"/>
      <c r="L445" s="197" t="s">
        <v>1421</v>
      </c>
      <c r="M445" s="182"/>
      <c r="N445" s="182"/>
      <c r="O445" s="234" t="s">
        <v>1133</v>
      </c>
      <c r="P445" s="182"/>
      <c r="Q445" s="182"/>
      <c r="R445" s="182"/>
      <c r="S445" s="182"/>
    </row>
    <row r="446" spans="1:19" x14ac:dyDescent="0.2">
      <c r="A446" s="188"/>
      <c r="B446" s="178"/>
      <c r="C446" s="178"/>
      <c r="D446" s="187" t="s">
        <v>1133</v>
      </c>
      <c r="G446" s="182"/>
      <c r="H446" s="198"/>
      <c r="I446" s="187"/>
      <c r="J446" s="204">
        <v>7</v>
      </c>
      <c r="K446" s="182"/>
      <c r="L446" s="197" t="s">
        <v>1422</v>
      </c>
      <c r="M446" s="182"/>
      <c r="N446" s="182"/>
      <c r="O446" s="234" t="s">
        <v>1133</v>
      </c>
      <c r="P446" s="182"/>
      <c r="Q446" s="182"/>
      <c r="R446" s="182"/>
      <c r="S446" s="182"/>
    </row>
    <row r="447" spans="1:19" x14ac:dyDescent="0.2">
      <c r="A447" s="188"/>
      <c r="B447" s="178"/>
      <c r="C447" s="178"/>
      <c r="D447" s="187" t="s">
        <v>1133</v>
      </c>
      <c r="G447" s="182"/>
      <c r="H447" s="198"/>
      <c r="I447" s="187"/>
      <c r="J447" s="204">
        <v>8</v>
      </c>
      <c r="K447" s="182"/>
      <c r="L447" s="197" t="s">
        <v>1414</v>
      </c>
      <c r="M447" s="182"/>
      <c r="N447" s="182"/>
      <c r="O447" s="234" t="s">
        <v>1133</v>
      </c>
      <c r="P447" s="182"/>
      <c r="Q447" s="182"/>
      <c r="R447" s="182"/>
      <c r="S447" s="182"/>
    </row>
    <row r="448" spans="1:19" x14ac:dyDescent="0.2">
      <c r="A448" s="188"/>
      <c r="B448" s="178"/>
      <c r="C448" s="178"/>
      <c r="D448" s="187" t="s">
        <v>1133</v>
      </c>
      <c r="G448" s="182"/>
      <c r="H448" s="198"/>
      <c r="I448" s="187"/>
      <c r="J448" s="204">
        <v>9</v>
      </c>
      <c r="K448" s="182"/>
      <c r="L448" s="197" t="s">
        <v>1406</v>
      </c>
      <c r="M448" s="182"/>
      <c r="N448" s="182"/>
      <c r="O448" s="234" t="s">
        <v>1133</v>
      </c>
      <c r="P448" s="182"/>
      <c r="Q448" s="182"/>
      <c r="R448" s="182"/>
      <c r="S448" s="182"/>
    </row>
    <row r="449" spans="1:19" x14ac:dyDescent="0.2">
      <c r="A449" s="188"/>
      <c r="B449" s="178"/>
      <c r="C449" s="178"/>
      <c r="D449" s="187" t="s">
        <v>1133</v>
      </c>
      <c r="G449" s="182"/>
      <c r="H449" s="198"/>
      <c r="I449" s="187"/>
      <c r="J449" s="204">
        <v>10</v>
      </c>
      <c r="K449" s="182"/>
      <c r="L449" s="197" t="s">
        <v>1423</v>
      </c>
      <c r="M449" s="182"/>
      <c r="N449" s="182"/>
      <c r="O449" s="234" t="s">
        <v>1133</v>
      </c>
      <c r="P449" s="182"/>
      <c r="Q449" s="182"/>
      <c r="R449" s="182"/>
      <c r="S449" s="182"/>
    </row>
    <row r="450" spans="1:19" x14ac:dyDescent="0.2">
      <c r="A450" s="188"/>
      <c r="B450" s="178"/>
      <c r="C450" s="178"/>
      <c r="D450" s="187" t="s">
        <v>1133</v>
      </c>
      <c r="G450" s="182"/>
      <c r="H450" s="198"/>
      <c r="I450" s="187"/>
      <c r="J450" s="204">
        <v>11</v>
      </c>
      <c r="K450" s="182"/>
      <c r="L450" s="197" t="s">
        <v>1415</v>
      </c>
      <c r="M450" s="182"/>
      <c r="N450" s="182"/>
      <c r="O450" s="234" t="s">
        <v>1133</v>
      </c>
      <c r="P450" s="182"/>
      <c r="Q450" s="182"/>
      <c r="R450" s="182"/>
      <c r="S450" s="182"/>
    </row>
    <row r="451" spans="1:19" x14ac:dyDescent="0.2">
      <c r="A451" s="188"/>
      <c r="B451" s="178"/>
      <c r="C451" s="178"/>
      <c r="D451" s="187" t="s">
        <v>1133</v>
      </c>
      <c r="G451" s="182"/>
      <c r="H451" s="198"/>
      <c r="I451" s="187"/>
      <c r="J451" s="204">
        <v>12</v>
      </c>
      <c r="K451" s="182"/>
      <c r="L451" s="197" t="s">
        <v>1424</v>
      </c>
      <c r="M451" s="182"/>
      <c r="N451" s="182"/>
      <c r="O451" s="234" t="s">
        <v>1133</v>
      </c>
      <c r="P451" s="182"/>
      <c r="Q451" s="182"/>
      <c r="R451" s="182"/>
      <c r="S451" s="182"/>
    </row>
    <row r="452" spans="1:19" x14ac:dyDescent="0.2">
      <c r="A452" s="188"/>
      <c r="B452" s="178"/>
      <c r="C452" s="178"/>
      <c r="D452" s="187" t="s">
        <v>1133</v>
      </c>
      <c r="G452" s="182"/>
      <c r="H452" s="198"/>
      <c r="I452" s="187"/>
      <c r="J452" s="204">
        <v>13</v>
      </c>
      <c r="K452" s="182"/>
      <c r="L452" s="197" t="s">
        <v>1416</v>
      </c>
      <c r="M452" s="182"/>
      <c r="N452" s="182"/>
      <c r="O452" s="234" t="s">
        <v>1133</v>
      </c>
      <c r="P452" s="182"/>
      <c r="Q452" s="182"/>
      <c r="R452" s="182"/>
      <c r="S452" s="182"/>
    </row>
    <row r="453" spans="1:19" x14ac:dyDescent="0.2">
      <c r="A453" s="188"/>
      <c r="B453" s="178"/>
      <c r="C453" s="178"/>
      <c r="D453" s="187" t="s">
        <v>1133</v>
      </c>
      <c r="G453" s="182"/>
      <c r="H453" s="198"/>
      <c r="I453" s="212"/>
      <c r="J453" s="207">
        <v>14</v>
      </c>
      <c r="K453" s="208"/>
      <c r="L453" s="209" t="s">
        <v>1425</v>
      </c>
      <c r="M453" s="208"/>
      <c r="N453" s="208"/>
      <c r="O453" s="252" t="s">
        <v>1133</v>
      </c>
      <c r="P453" s="182"/>
      <c r="Q453" s="182"/>
      <c r="R453" s="182"/>
      <c r="S453" s="182"/>
    </row>
    <row r="454" spans="1:19" x14ac:dyDescent="0.2">
      <c r="A454" s="188"/>
      <c r="B454" s="178"/>
      <c r="C454" s="178"/>
      <c r="D454" s="187"/>
      <c r="G454" s="182"/>
      <c r="H454" s="198"/>
      <c r="I454" s="207" t="s">
        <v>1130</v>
      </c>
      <c r="J454" s="187"/>
      <c r="K454" s="197" t="s">
        <v>1426</v>
      </c>
      <c r="L454" s="182"/>
      <c r="M454" s="182"/>
      <c r="N454" s="182"/>
      <c r="O454" s="234"/>
      <c r="P454" s="182"/>
      <c r="Q454" s="182"/>
      <c r="R454" s="182"/>
      <c r="S454" s="182"/>
    </row>
    <row r="455" spans="1:19" x14ac:dyDescent="0.2">
      <c r="A455" s="188"/>
      <c r="B455" s="178"/>
      <c r="C455" s="178"/>
      <c r="D455" s="187" t="s">
        <v>1133</v>
      </c>
      <c r="G455" s="182"/>
      <c r="H455" s="198"/>
      <c r="I455" s="187"/>
      <c r="J455" s="204">
        <v>1</v>
      </c>
      <c r="K455" s="182"/>
      <c r="L455" s="197" t="s">
        <v>1231</v>
      </c>
      <c r="M455" s="182"/>
      <c r="N455" s="182"/>
      <c r="O455" s="234" t="s">
        <v>1133</v>
      </c>
      <c r="P455" s="182"/>
      <c r="Q455" s="182"/>
      <c r="R455" s="182"/>
      <c r="S455" s="182"/>
    </row>
    <row r="456" spans="1:19" x14ac:dyDescent="0.2">
      <c r="A456" s="188"/>
      <c r="B456" s="178"/>
      <c r="C456" s="178"/>
      <c r="D456" s="187" t="s">
        <v>1133</v>
      </c>
      <c r="G456" s="182"/>
      <c r="H456" s="198"/>
      <c r="I456" s="187"/>
      <c r="J456" s="204">
        <v>2</v>
      </c>
      <c r="K456" s="182"/>
      <c r="L456" s="197" t="s">
        <v>1418</v>
      </c>
      <c r="M456" s="182"/>
      <c r="N456" s="182"/>
      <c r="O456" s="234" t="s">
        <v>1133</v>
      </c>
      <c r="P456" s="182"/>
      <c r="Q456" s="182"/>
      <c r="R456" s="182"/>
      <c r="S456" s="182"/>
    </row>
    <row r="457" spans="1:19" x14ac:dyDescent="0.2">
      <c r="A457" s="188"/>
      <c r="B457" s="178"/>
      <c r="C457" s="178"/>
      <c r="D457" s="187" t="s">
        <v>1133</v>
      </c>
      <c r="G457" s="182"/>
      <c r="H457" s="198"/>
      <c r="I457" s="187"/>
      <c r="J457" s="204">
        <v>3</v>
      </c>
      <c r="K457" s="182"/>
      <c r="L457" s="197" t="s">
        <v>1419</v>
      </c>
      <c r="M457" s="182"/>
      <c r="N457" s="182"/>
      <c r="O457" s="234" t="s">
        <v>1133</v>
      </c>
      <c r="P457" s="182"/>
      <c r="Q457" s="182"/>
      <c r="R457" s="182"/>
      <c r="S457" s="182"/>
    </row>
    <row r="458" spans="1:19" x14ac:dyDescent="0.2">
      <c r="A458" s="188"/>
      <c r="B458" s="178"/>
      <c r="C458" s="178"/>
      <c r="D458" s="187" t="s">
        <v>1133</v>
      </c>
      <c r="G458" s="182"/>
      <c r="H458" s="198"/>
      <c r="I458" s="187"/>
      <c r="J458" s="204">
        <v>4</v>
      </c>
      <c r="K458" s="182"/>
      <c r="L458" s="197" t="s">
        <v>1420</v>
      </c>
      <c r="M458" s="182"/>
      <c r="N458" s="182"/>
      <c r="O458" s="234" t="s">
        <v>1133</v>
      </c>
      <c r="P458" s="182"/>
      <c r="Q458" s="182"/>
      <c r="R458" s="182"/>
      <c r="S458" s="182"/>
    </row>
    <row r="459" spans="1:19" x14ac:dyDescent="0.2">
      <c r="A459" s="188"/>
      <c r="B459" s="178"/>
      <c r="C459" s="178"/>
      <c r="D459" s="187" t="s">
        <v>1133</v>
      </c>
      <c r="G459" s="182"/>
      <c r="H459" s="198"/>
      <c r="I459" s="187"/>
      <c r="J459" s="204">
        <v>5</v>
      </c>
      <c r="K459" s="182"/>
      <c r="L459" s="197" t="s">
        <v>1284</v>
      </c>
      <c r="M459" s="182"/>
      <c r="N459" s="182"/>
      <c r="O459" s="234" t="s">
        <v>1133</v>
      </c>
      <c r="P459" s="182"/>
      <c r="Q459" s="182"/>
      <c r="R459" s="182"/>
      <c r="S459" s="182"/>
    </row>
    <row r="460" spans="1:19" x14ac:dyDescent="0.2">
      <c r="A460" s="188"/>
      <c r="B460" s="178"/>
      <c r="C460" s="178"/>
      <c r="D460" s="187" t="s">
        <v>1133</v>
      </c>
      <c r="G460" s="182"/>
      <c r="H460" s="198"/>
      <c r="I460" s="187"/>
      <c r="J460" s="204">
        <v>6</v>
      </c>
      <c r="K460" s="182"/>
      <c r="L460" s="197" t="s">
        <v>1432</v>
      </c>
      <c r="M460" s="182"/>
      <c r="N460" s="182"/>
      <c r="O460" s="234" t="s">
        <v>1133</v>
      </c>
      <c r="P460" s="182"/>
      <c r="Q460" s="182"/>
      <c r="R460" s="182"/>
      <c r="S460" s="182"/>
    </row>
    <row r="461" spans="1:19" x14ac:dyDescent="0.2">
      <c r="A461" s="188"/>
      <c r="B461" s="178"/>
      <c r="C461" s="178"/>
      <c r="D461" s="187" t="s">
        <v>1133</v>
      </c>
      <c r="G461" s="182"/>
      <c r="H461" s="198"/>
      <c r="I461" s="187"/>
      <c r="J461" s="204">
        <v>7</v>
      </c>
      <c r="K461" s="182"/>
      <c r="L461" s="197" t="s">
        <v>1421</v>
      </c>
      <c r="M461" s="182"/>
      <c r="N461" s="182"/>
      <c r="O461" s="234" t="s">
        <v>1133</v>
      </c>
      <c r="P461" s="182"/>
      <c r="Q461" s="182"/>
      <c r="R461" s="182"/>
      <c r="S461" s="182"/>
    </row>
    <row r="462" spans="1:19" x14ac:dyDescent="0.2">
      <c r="A462" s="188"/>
      <c r="B462" s="178"/>
      <c r="C462" s="178"/>
      <c r="D462" s="187" t="s">
        <v>1133</v>
      </c>
      <c r="G462" s="182"/>
      <c r="H462" s="198"/>
      <c r="I462" s="187"/>
      <c r="J462" s="204">
        <v>8</v>
      </c>
      <c r="K462" s="182"/>
      <c r="L462" s="197" t="s">
        <v>1422</v>
      </c>
      <c r="M462" s="182"/>
      <c r="N462" s="182"/>
      <c r="O462" s="234" t="s">
        <v>1133</v>
      </c>
      <c r="P462" s="182"/>
      <c r="Q462" s="182"/>
      <c r="R462" s="182"/>
      <c r="S462" s="182"/>
    </row>
    <row r="463" spans="1:19" x14ac:dyDescent="0.2">
      <c r="A463" s="188"/>
      <c r="B463" s="178"/>
      <c r="C463" s="178"/>
      <c r="D463" s="187" t="s">
        <v>1133</v>
      </c>
      <c r="G463" s="182"/>
      <c r="H463" s="198"/>
      <c r="I463" s="187"/>
      <c r="J463" s="204">
        <v>9</v>
      </c>
      <c r="K463" s="182"/>
      <c r="L463" s="197" t="s">
        <v>1414</v>
      </c>
      <c r="M463" s="182"/>
      <c r="N463" s="182"/>
      <c r="O463" s="234" t="s">
        <v>1133</v>
      </c>
      <c r="P463" s="182"/>
      <c r="Q463" s="182"/>
      <c r="R463" s="182"/>
      <c r="S463" s="182"/>
    </row>
    <row r="464" spans="1:19" x14ac:dyDescent="0.2">
      <c r="A464" s="188"/>
      <c r="B464" s="178"/>
      <c r="C464" s="178"/>
      <c r="D464" s="187" t="s">
        <v>1133</v>
      </c>
      <c r="G464" s="182"/>
      <c r="H464" s="198"/>
      <c r="I464" s="187"/>
      <c r="J464" s="204">
        <v>10</v>
      </c>
      <c r="K464" s="182"/>
      <c r="L464" s="197" t="s">
        <v>1406</v>
      </c>
      <c r="M464" s="182"/>
      <c r="N464" s="182"/>
      <c r="O464" s="234" t="s">
        <v>1133</v>
      </c>
      <c r="P464" s="182"/>
      <c r="Q464" s="182"/>
      <c r="R464" s="182"/>
      <c r="S464" s="182"/>
    </row>
    <row r="465" spans="1:19" x14ac:dyDescent="0.2">
      <c r="A465" s="188"/>
      <c r="B465" s="178"/>
      <c r="C465" s="178"/>
      <c r="D465" s="187" t="s">
        <v>1133</v>
      </c>
      <c r="G465" s="182"/>
      <c r="H465" s="198"/>
      <c r="I465" s="187"/>
      <c r="J465" s="204">
        <v>11</v>
      </c>
      <c r="K465" s="182"/>
      <c r="L465" s="197" t="s">
        <v>1423</v>
      </c>
      <c r="M465" s="182"/>
      <c r="N465" s="182"/>
      <c r="O465" s="234" t="s">
        <v>1133</v>
      </c>
      <c r="P465" s="182"/>
      <c r="Q465" s="182"/>
      <c r="R465" s="182"/>
      <c r="S465" s="182"/>
    </row>
    <row r="466" spans="1:19" x14ac:dyDescent="0.2">
      <c r="A466" s="188"/>
      <c r="B466" s="178"/>
      <c r="C466" s="178"/>
      <c r="D466" s="187" t="s">
        <v>1133</v>
      </c>
      <c r="G466" s="182"/>
      <c r="H466" s="198"/>
      <c r="I466" s="187"/>
      <c r="J466" s="204">
        <v>12</v>
      </c>
      <c r="K466" s="182"/>
      <c r="L466" s="197" t="s">
        <v>1415</v>
      </c>
      <c r="M466" s="182"/>
      <c r="N466" s="182"/>
      <c r="O466" s="234" t="s">
        <v>1133</v>
      </c>
      <c r="P466" s="182"/>
      <c r="Q466" s="182"/>
      <c r="R466" s="182"/>
      <c r="S466" s="182"/>
    </row>
    <row r="467" spans="1:19" x14ac:dyDescent="0.2">
      <c r="A467" s="188"/>
      <c r="B467" s="178"/>
      <c r="C467" s="178"/>
      <c r="D467" s="187" t="s">
        <v>1133</v>
      </c>
      <c r="G467" s="182"/>
      <c r="H467" s="198"/>
      <c r="I467" s="187"/>
      <c r="J467" s="204">
        <v>13</v>
      </c>
      <c r="K467" s="197"/>
      <c r="L467" s="197" t="s">
        <v>1424</v>
      </c>
      <c r="M467" s="182"/>
      <c r="N467" s="182"/>
      <c r="O467" s="234" t="s">
        <v>1133</v>
      </c>
      <c r="P467" s="182"/>
      <c r="Q467" s="182"/>
      <c r="R467" s="182"/>
      <c r="S467" s="182"/>
    </row>
    <row r="468" spans="1:19" x14ac:dyDescent="0.2">
      <c r="A468" s="188"/>
      <c r="B468" s="178"/>
      <c r="C468" s="178"/>
      <c r="D468" s="187" t="s">
        <v>1133</v>
      </c>
      <c r="G468" s="182"/>
      <c r="H468" s="198"/>
      <c r="I468" s="187"/>
      <c r="J468" s="204">
        <v>14</v>
      </c>
      <c r="K468" s="182"/>
      <c r="L468" s="197" t="s">
        <v>1416</v>
      </c>
      <c r="M468" s="182"/>
      <c r="N468" s="182"/>
      <c r="O468" s="234" t="s">
        <v>1133</v>
      </c>
      <c r="P468" s="182"/>
      <c r="Q468" s="182"/>
      <c r="R468" s="182"/>
      <c r="S468" s="182"/>
    </row>
    <row r="469" spans="1:19" x14ac:dyDescent="0.2">
      <c r="A469" s="188"/>
      <c r="B469" s="178"/>
      <c r="C469" s="178"/>
      <c r="D469" s="187" t="s">
        <v>1133</v>
      </c>
      <c r="G469" s="182"/>
      <c r="H469" s="198"/>
      <c r="I469" s="187"/>
      <c r="J469" s="204">
        <v>15</v>
      </c>
      <c r="K469" s="182"/>
      <c r="L469" s="197" t="s">
        <v>1408</v>
      </c>
      <c r="M469" s="182"/>
      <c r="N469" s="182"/>
      <c r="O469" s="234" t="s">
        <v>1133</v>
      </c>
      <c r="P469" s="182"/>
      <c r="Q469" s="182"/>
      <c r="R469" s="182"/>
      <c r="S469" s="182"/>
    </row>
    <row r="470" spans="1:19" x14ac:dyDescent="0.2">
      <c r="A470" s="188"/>
      <c r="B470" s="178"/>
      <c r="C470" s="178"/>
      <c r="D470" s="187" t="s">
        <v>1133</v>
      </c>
      <c r="G470" s="182"/>
      <c r="H470" s="198"/>
      <c r="I470" s="187"/>
      <c r="J470" s="204">
        <v>16</v>
      </c>
      <c r="K470" s="182"/>
      <c r="L470" s="197" t="s">
        <v>1425</v>
      </c>
      <c r="M470" s="182"/>
      <c r="N470" s="182"/>
      <c r="O470" s="234" t="s">
        <v>1133</v>
      </c>
      <c r="P470" s="182"/>
      <c r="Q470" s="182"/>
      <c r="R470" s="182"/>
      <c r="S470" s="182"/>
    </row>
    <row r="471" spans="1:19" x14ac:dyDescent="0.2">
      <c r="A471" s="188"/>
      <c r="B471" s="178"/>
      <c r="C471" s="178"/>
      <c r="D471" s="187"/>
      <c r="G471" s="182"/>
      <c r="H471" s="198"/>
      <c r="I471" s="199" t="s">
        <v>1134</v>
      </c>
      <c r="J471" s="200"/>
      <c r="K471" s="211" t="s">
        <v>1428</v>
      </c>
      <c r="L471" s="202"/>
      <c r="M471" s="202"/>
      <c r="N471" s="202"/>
      <c r="O471" s="243"/>
      <c r="P471" s="182"/>
      <c r="Q471" s="182"/>
      <c r="R471" s="182"/>
      <c r="S471" s="182"/>
    </row>
    <row r="472" spans="1:19" x14ac:dyDescent="0.2">
      <c r="A472" s="188"/>
      <c r="B472" s="178"/>
      <c r="C472" s="178"/>
      <c r="D472" s="187" t="s">
        <v>1133</v>
      </c>
      <c r="G472" s="182"/>
      <c r="H472" s="198"/>
      <c r="I472" s="187"/>
      <c r="J472" s="204">
        <v>1</v>
      </c>
      <c r="K472" s="182"/>
      <c r="L472" s="197" t="s">
        <v>1419</v>
      </c>
      <c r="M472" s="182"/>
      <c r="N472" s="182"/>
      <c r="O472" s="234" t="s">
        <v>1133</v>
      </c>
      <c r="P472" s="182"/>
      <c r="Q472" s="182"/>
      <c r="R472" s="182"/>
      <c r="S472" s="182"/>
    </row>
    <row r="473" spans="1:19" x14ac:dyDescent="0.2">
      <c r="A473" s="188"/>
      <c r="B473" s="178"/>
      <c r="C473" s="178"/>
      <c r="D473" s="187" t="s">
        <v>1133</v>
      </c>
      <c r="G473" s="182"/>
      <c r="H473" s="198"/>
      <c r="I473" s="187"/>
      <c r="J473" s="204">
        <v>2</v>
      </c>
      <c r="K473" s="182"/>
      <c r="L473" s="197" t="s">
        <v>1420</v>
      </c>
      <c r="M473" s="182"/>
      <c r="N473" s="182"/>
      <c r="O473" s="234" t="s">
        <v>1133</v>
      </c>
      <c r="P473" s="182"/>
      <c r="Q473" s="182"/>
      <c r="R473" s="182"/>
      <c r="S473" s="182"/>
    </row>
    <row r="474" spans="1:19" x14ac:dyDescent="0.2">
      <c r="A474" s="188"/>
      <c r="B474" s="178"/>
      <c r="C474" s="178"/>
      <c r="D474" s="187" t="s">
        <v>1133</v>
      </c>
      <c r="G474" s="182"/>
      <c r="H474" s="198"/>
      <c r="I474" s="187"/>
      <c r="J474" s="204">
        <v>3</v>
      </c>
      <c r="K474" s="182"/>
      <c r="L474" s="197" t="s">
        <v>1284</v>
      </c>
      <c r="M474" s="182"/>
      <c r="N474" s="182"/>
      <c r="O474" s="234" t="s">
        <v>1133</v>
      </c>
      <c r="P474" s="182"/>
      <c r="Q474" s="182"/>
      <c r="R474" s="182"/>
      <c r="S474" s="182"/>
    </row>
    <row r="475" spans="1:19" x14ac:dyDescent="0.2">
      <c r="A475" s="188"/>
      <c r="B475" s="178"/>
      <c r="C475" s="178"/>
      <c r="D475" s="187" t="s">
        <v>1133</v>
      </c>
      <c r="G475" s="182"/>
      <c r="H475" s="198"/>
      <c r="I475" s="187"/>
      <c r="J475" s="204">
        <v>4</v>
      </c>
      <c r="K475" s="182"/>
      <c r="L475" s="197" t="s">
        <v>1421</v>
      </c>
      <c r="M475" s="182"/>
      <c r="N475" s="182"/>
      <c r="O475" s="234" t="s">
        <v>1133</v>
      </c>
      <c r="P475" s="182"/>
      <c r="Q475" s="182"/>
      <c r="R475" s="182"/>
      <c r="S475" s="182"/>
    </row>
    <row r="476" spans="1:19" x14ac:dyDescent="0.2">
      <c r="A476" s="188"/>
      <c r="B476" s="178"/>
      <c r="C476" s="178"/>
      <c r="D476" s="187" t="s">
        <v>1133</v>
      </c>
      <c r="G476" s="182"/>
      <c r="H476" s="198"/>
      <c r="I476" s="187"/>
      <c r="J476" s="204">
        <v>5</v>
      </c>
      <c r="K476" s="182"/>
      <c r="L476" s="197" t="s">
        <v>1422</v>
      </c>
      <c r="M476" s="182"/>
      <c r="N476" s="182"/>
      <c r="O476" s="234" t="s">
        <v>1133</v>
      </c>
      <c r="P476" s="182"/>
      <c r="Q476" s="182"/>
      <c r="R476" s="182"/>
      <c r="S476" s="182"/>
    </row>
    <row r="477" spans="1:19" x14ac:dyDescent="0.2">
      <c r="A477" s="188"/>
      <c r="B477" s="178"/>
      <c r="C477" s="178"/>
      <c r="D477" s="187" t="s">
        <v>1133</v>
      </c>
      <c r="G477" s="182"/>
      <c r="H477" s="198"/>
      <c r="I477" s="187"/>
      <c r="J477" s="204">
        <v>6</v>
      </c>
      <c r="K477" s="182"/>
      <c r="L477" s="197" t="s">
        <v>1406</v>
      </c>
      <c r="M477" s="182"/>
      <c r="N477" s="182"/>
      <c r="O477" s="234" t="s">
        <v>1133</v>
      </c>
      <c r="P477" s="182"/>
      <c r="Q477" s="182"/>
      <c r="R477" s="182"/>
      <c r="S477" s="182"/>
    </row>
    <row r="478" spans="1:19" x14ac:dyDescent="0.2">
      <c r="A478" s="188"/>
      <c r="B478" s="178"/>
      <c r="C478" s="178"/>
      <c r="D478" s="187" t="s">
        <v>1133</v>
      </c>
      <c r="G478" s="182"/>
      <c r="H478" s="198"/>
      <c r="I478" s="187"/>
      <c r="J478" s="204">
        <v>7</v>
      </c>
      <c r="K478" s="182"/>
      <c r="L478" s="197" t="s">
        <v>1423</v>
      </c>
      <c r="M478" s="182"/>
      <c r="N478" s="182"/>
      <c r="O478" s="234" t="s">
        <v>1133</v>
      </c>
      <c r="P478" s="182"/>
      <c r="Q478" s="182"/>
      <c r="R478" s="182"/>
      <c r="S478" s="182"/>
    </row>
    <row r="479" spans="1:19" x14ac:dyDescent="0.2">
      <c r="A479" s="188"/>
      <c r="B479" s="178"/>
      <c r="C479" s="178"/>
      <c r="D479" s="187" t="s">
        <v>1133</v>
      </c>
      <c r="G479" s="182"/>
      <c r="H479" s="198"/>
      <c r="I479" s="187"/>
      <c r="J479" s="204">
        <v>8</v>
      </c>
      <c r="K479" s="182"/>
      <c r="L479" s="197" t="s">
        <v>1415</v>
      </c>
      <c r="M479" s="182"/>
      <c r="N479" s="182"/>
      <c r="O479" s="234" t="s">
        <v>1133</v>
      </c>
      <c r="P479" s="182"/>
      <c r="Q479" s="182"/>
      <c r="R479" s="182"/>
      <c r="S479" s="182"/>
    </row>
    <row r="480" spans="1:19" x14ac:dyDescent="0.2">
      <c r="A480" s="188"/>
      <c r="B480" s="178"/>
      <c r="C480" s="178"/>
      <c r="D480" s="187" t="s">
        <v>1133</v>
      </c>
      <c r="G480" s="182"/>
      <c r="H480" s="198"/>
      <c r="I480" s="187"/>
      <c r="J480" s="204">
        <v>9</v>
      </c>
      <c r="K480" s="182"/>
      <c r="L480" s="197" t="s">
        <v>1424</v>
      </c>
      <c r="M480" s="182"/>
      <c r="N480" s="182"/>
      <c r="O480" s="234" t="s">
        <v>1133</v>
      </c>
      <c r="P480" s="182"/>
      <c r="Q480" s="182"/>
      <c r="R480" s="182"/>
      <c r="S480" s="182"/>
    </row>
    <row r="481" spans="1:19" ht="15.75" thickBot="1" x14ac:dyDescent="0.25">
      <c r="A481" s="188"/>
      <c r="B481" s="178"/>
      <c r="C481" s="178"/>
      <c r="D481" s="187" t="s">
        <v>1133</v>
      </c>
      <c r="G481" s="182"/>
      <c r="H481" s="244"/>
      <c r="I481" s="245"/>
      <c r="J481" s="246">
        <v>10</v>
      </c>
      <c r="K481" s="247"/>
      <c r="L481" s="248" t="s">
        <v>1425</v>
      </c>
      <c r="M481" s="247"/>
      <c r="N481" s="247"/>
      <c r="O481" s="280" t="s">
        <v>1133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1433</v>
      </c>
      <c r="C483" s="178" t="s">
        <v>1434</v>
      </c>
      <c r="D483" s="187"/>
      <c r="G483" s="182"/>
      <c r="H483" s="220">
        <v>45</v>
      </c>
      <c r="I483" s="222"/>
      <c r="J483" s="232"/>
      <c r="K483" s="277" t="s">
        <v>1434</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1022</v>
      </c>
      <c r="J484" s="200"/>
      <c r="K484" s="211" t="s">
        <v>1400</v>
      </c>
      <c r="L484" s="202"/>
      <c r="M484" s="202"/>
      <c r="N484" s="202"/>
      <c r="O484" s="243"/>
      <c r="P484" s="182"/>
      <c r="Q484" s="182"/>
      <c r="R484" s="182"/>
      <c r="S484" s="182"/>
    </row>
    <row r="485" spans="1:19" x14ac:dyDescent="0.2">
      <c r="A485" s="188"/>
      <c r="B485" s="178"/>
      <c r="C485" s="178"/>
      <c r="D485" s="187" t="s">
        <v>1133</v>
      </c>
      <c r="G485" s="182"/>
      <c r="H485" s="198"/>
      <c r="I485" s="187"/>
      <c r="J485" s="204">
        <v>1</v>
      </c>
      <c r="K485" s="182"/>
      <c r="L485" s="197" t="s">
        <v>1405</v>
      </c>
      <c r="M485" s="182"/>
      <c r="N485" s="182"/>
      <c r="O485" s="234" t="s">
        <v>1133</v>
      </c>
      <c r="P485" s="182"/>
      <c r="Q485" s="182"/>
      <c r="R485" s="182"/>
      <c r="S485" s="182"/>
    </row>
    <row r="486" spans="1:19" x14ac:dyDescent="0.2">
      <c r="A486" s="188"/>
      <c r="B486" s="178"/>
      <c r="C486" s="178"/>
      <c r="D486" s="187" t="s">
        <v>1133</v>
      </c>
      <c r="G486" s="182"/>
      <c r="H486" s="198"/>
      <c r="I486" s="187"/>
      <c r="J486" s="204">
        <v>2</v>
      </c>
      <c r="K486" s="182"/>
      <c r="L486" s="197" t="s">
        <v>1407</v>
      </c>
      <c r="M486" s="182"/>
      <c r="N486" s="182"/>
      <c r="O486" s="234" t="s">
        <v>1133</v>
      </c>
      <c r="P486" s="182"/>
      <c r="Q486" s="182"/>
      <c r="R486" s="182"/>
      <c r="S486" s="182"/>
    </row>
    <row r="487" spans="1:19" x14ac:dyDescent="0.2">
      <c r="A487" s="188"/>
      <c r="B487" s="178"/>
      <c r="C487" s="178"/>
      <c r="D487" s="187"/>
      <c r="G487" s="182"/>
      <c r="H487" s="198"/>
      <c r="I487" s="199" t="s">
        <v>1049</v>
      </c>
      <c r="J487" s="200"/>
      <c r="K487" s="211" t="s">
        <v>1404</v>
      </c>
      <c r="L487" s="202"/>
      <c r="M487" s="202"/>
      <c r="N487" s="202"/>
      <c r="O487" s="243"/>
      <c r="P487" s="182"/>
      <c r="Q487" s="182"/>
      <c r="R487" s="182"/>
      <c r="S487" s="182"/>
    </row>
    <row r="488" spans="1:19" x14ac:dyDescent="0.2">
      <c r="A488" s="188"/>
      <c r="B488" s="178"/>
      <c r="C488" s="178"/>
      <c r="D488" s="187" t="s">
        <v>1133</v>
      </c>
      <c r="G488" s="182"/>
      <c r="H488" s="198"/>
      <c r="I488" s="187"/>
      <c r="J488" s="204">
        <v>1</v>
      </c>
      <c r="K488" s="182"/>
      <c r="L488" s="197" t="s">
        <v>1405</v>
      </c>
      <c r="M488" s="182"/>
      <c r="N488" s="182"/>
      <c r="O488" s="234" t="s">
        <v>1133</v>
      </c>
      <c r="P488" s="182"/>
      <c r="Q488" s="182"/>
      <c r="R488" s="182"/>
      <c r="S488" s="182"/>
    </row>
    <row r="489" spans="1:19" x14ac:dyDescent="0.2">
      <c r="A489" s="188"/>
      <c r="B489" s="178"/>
      <c r="C489" s="178"/>
      <c r="D489" s="187" t="s">
        <v>1133</v>
      </c>
      <c r="G489" s="182"/>
      <c r="H489" s="198"/>
      <c r="I489" s="187"/>
      <c r="J489" s="204">
        <v>2</v>
      </c>
      <c r="K489" s="182"/>
      <c r="L489" s="197" t="s">
        <v>1407</v>
      </c>
      <c r="M489" s="182"/>
      <c r="N489" s="182"/>
      <c r="O489" s="234" t="s">
        <v>1133</v>
      </c>
      <c r="P489" s="182"/>
      <c r="Q489" s="182"/>
      <c r="R489" s="182"/>
      <c r="S489" s="182"/>
    </row>
    <row r="490" spans="1:19" x14ac:dyDescent="0.2">
      <c r="A490" s="188"/>
      <c r="B490" s="178"/>
      <c r="C490" s="178"/>
      <c r="D490" s="187" t="s">
        <v>1133</v>
      </c>
      <c r="G490" s="182"/>
      <c r="H490" s="198"/>
      <c r="I490" s="187"/>
      <c r="J490" s="204">
        <v>3</v>
      </c>
      <c r="K490" s="182"/>
      <c r="L490" s="197" t="s">
        <v>1416</v>
      </c>
      <c r="M490" s="182"/>
      <c r="N490" s="182"/>
      <c r="O490" s="234" t="s">
        <v>1133</v>
      </c>
      <c r="P490" s="182"/>
      <c r="Q490" s="182"/>
      <c r="R490" s="182"/>
      <c r="S490" s="182"/>
    </row>
    <row r="491" spans="1:19" x14ac:dyDescent="0.2">
      <c r="A491" s="188"/>
      <c r="B491" s="178"/>
      <c r="C491" s="178"/>
      <c r="D491" s="187"/>
      <c r="G491" s="182"/>
      <c r="H491" s="198"/>
      <c r="I491" s="199" t="s">
        <v>1059</v>
      </c>
      <c r="J491" s="200"/>
      <c r="K491" s="211" t="s">
        <v>1409</v>
      </c>
      <c r="L491" s="202"/>
      <c r="M491" s="202"/>
      <c r="N491" s="202"/>
      <c r="O491" s="243"/>
      <c r="P491" s="182"/>
      <c r="Q491" s="182"/>
      <c r="R491" s="182"/>
      <c r="S491" s="182"/>
    </row>
    <row r="492" spans="1:19" x14ac:dyDescent="0.2">
      <c r="A492" s="188"/>
      <c r="B492" s="178"/>
      <c r="C492" s="178"/>
      <c r="D492" s="187" t="s">
        <v>1133</v>
      </c>
      <c r="G492" s="182"/>
      <c r="H492" s="198"/>
      <c r="I492" s="187"/>
      <c r="J492" s="204">
        <v>1</v>
      </c>
      <c r="K492" s="182"/>
      <c r="L492" s="197" t="s">
        <v>1405</v>
      </c>
      <c r="M492" s="182"/>
      <c r="N492" s="182"/>
      <c r="O492" s="234" t="s">
        <v>1133</v>
      </c>
      <c r="P492" s="182"/>
      <c r="Q492" s="182"/>
      <c r="R492" s="182"/>
      <c r="S492" s="182"/>
    </row>
    <row r="493" spans="1:19" x14ac:dyDescent="0.2">
      <c r="A493" s="188"/>
      <c r="B493" s="178"/>
      <c r="C493" s="178"/>
      <c r="D493" s="187" t="s">
        <v>1133</v>
      </c>
      <c r="G493" s="182"/>
      <c r="H493" s="198"/>
      <c r="I493" s="187"/>
      <c r="J493" s="204">
        <v>2</v>
      </c>
      <c r="K493" s="182"/>
      <c r="L493" s="197" t="s">
        <v>1342</v>
      </c>
      <c r="M493" s="182"/>
      <c r="N493" s="182"/>
      <c r="O493" s="234" t="s">
        <v>1133</v>
      </c>
      <c r="P493" s="182"/>
      <c r="Q493" s="182"/>
      <c r="R493" s="182"/>
      <c r="S493" s="182"/>
    </row>
    <row r="494" spans="1:19" x14ac:dyDescent="0.2">
      <c r="A494" s="188"/>
      <c r="B494" s="178"/>
      <c r="C494" s="178"/>
      <c r="D494" s="187" t="s">
        <v>1133</v>
      </c>
      <c r="G494" s="182"/>
      <c r="H494" s="198"/>
      <c r="I494" s="187"/>
      <c r="J494" s="204">
        <v>3</v>
      </c>
      <c r="K494" s="182"/>
      <c r="L494" s="197" t="s">
        <v>1407</v>
      </c>
      <c r="M494" s="182"/>
      <c r="N494" s="182"/>
      <c r="O494" s="234" t="s">
        <v>1133</v>
      </c>
      <c r="P494" s="182"/>
      <c r="Q494" s="182"/>
      <c r="R494" s="182"/>
      <c r="S494" s="182"/>
    </row>
    <row r="495" spans="1:19" x14ac:dyDescent="0.2">
      <c r="A495" s="188"/>
      <c r="B495" s="178"/>
      <c r="C495" s="178"/>
      <c r="D495" s="187" t="s">
        <v>1133</v>
      </c>
      <c r="G495" s="182"/>
      <c r="H495" s="198"/>
      <c r="I495" s="187"/>
      <c r="J495" s="204">
        <v>4</v>
      </c>
      <c r="K495" s="182"/>
      <c r="L495" s="197" t="s">
        <v>1416</v>
      </c>
      <c r="M495" s="182"/>
      <c r="N495" s="182"/>
      <c r="O495" s="234" t="s">
        <v>1133</v>
      </c>
      <c r="P495" s="182"/>
      <c r="Q495" s="182"/>
      <c r="R495" s="182"/>
      <c r="S495" s="182"/>
    </row>
    <row r="496" spans="1:19" x14ac:dyDescent="0.2">
      <c r="A496" s="188"/>
      <c r="B496" s="178"/>
      <c r="C496" s="178"/>
      <c r="D496" s="187" t="s">
        <v>1133</v>
      </c>
      <c r="G496" s="182"/>
      <c r="H496" s="198"/>
      <c r="I496" s="187"/>
      <c r="J496" s="204">
        <v>5</v>
      </c>
      <c r="K496" s="182"/>
      <c r="L496" s="197" t="s">
        <v>1408</v>
      </c>
      <c r="M496" s="182"/>
      <c r="N496" s="182"/>
      <c r="O496" s="234" t="s">
        <v>1133</v>
      </c>
      <c r="P496" s="182"/>
      <c r="Q496" s="182"/>
      <c r="R496" s="182"/>
      <c r="S496" s="182"/>
    </row>
    <row r="497" spans="1:19" x14ac:dyDescent="0.2">
      <c r="A497" s="188"/>
      <c r="B497" s="178"/>
      <c r="C497" s="178"/>
      <c r="D497" s="187"/>
      <c r="G497" s="182"/>
      <c r="H497" s="198"/>
      <c r="I497" s="199" t="s">
        <v>1085</v>
      </c>
      <c r="J497" s="200"/>
      <c r="K497" s="211" t="s">
        <v>1412</v>
      </c>
      <c r="L497" s="202"/>
      <c r="M497" s="202"/>
      <c r="N497" s="202"/>
      <c r="O497" s="243"/>
      <c r="P497" s="182"/>
      <c r="Q497" s="182"/>
      <c r="R497" s="182"/>
      <c r="S497" s="182"/>
    </row>
    <row r="498" spans="1:19" x14ac:dyDescent="0.2">
      <c r="A498" s="188"/>
      <c r="B498" s="178"/>
      <c r="C498" s="178"/>
      <c r="D498" s="187" t="s">
        <v>1133</v>
      </c>
      <c r="G498" s="182"/>
      <c r="H498" s="198"/>
      <c r="I498" s="187"/>
      <c r="J498" s="204">
        <v>1</v>
      </c>
      <c r="K498" s="182"/>
      <c r="L498" s="197" t="s">
        <v>1410</v>
      </c>
      <c r="M498" s="182"/>
      <c r="N498" s="182"/>
      <c r="O498" s="234" t="s">
        <v>1133</v>
      </c>
      <c r="P498" s="182"/>
      <c r="Q498" s="182"/>
      <c r="R498" s="182"/>
      <c r="S498" s="182"/>
    </row>
    <row r="499" spans="1:19" x14ac:dyDescent="0.2">
      <c r="A499" s="188"/>
      <c r="B499" s="178"/>
      <c r="C499" s="178"/>
      <c r="D499" s="187" t="s">
        <v>1133</v>
      </c>
      <c r="G499" s="182"/>
      <c r="H499" s="198"/>
      <c r="I499" s="187"/>
      <c r="J499" s="204">
        <v>2</v>
      </c>
      <c r="K499" s="182"/>
      <c r="L499" s="197" t="s">
        <v>1231</v>
      </c>
      <c r="M499" s="182"/>
      <c r="N499" s="182"/>
      <c r="O499" s="234" t="s">
        <v>1133</v>
      </c>
      <c r="P499" s="182"/>
      <c r="Q499" s="182"/>
      <c r="R499" s="182"/>
      <c r="S499" s="182"/>
    </row>
    <row r="500" spans="1:19" x14ac:dyDescent="0.2">
      <c r="A500" s="188"/>
      <c r="B500" s="178"/>
      <c r="C500" s="178"/>
      <c r="D500" s="187" t="s">
        <v>1133</v>
      </c>
      <c r="G500" s="182"/>
      <c r="H500" s="198"/>
      <c r="I500" s="187"/>
      <c r="J500" s="204">
        <v>3</v>
      </c>
      <c r="K500" s="182"/>
      <c r="L500" s="197" t="s">
        <v>1405</v>
      </c>
      <c r="M500" s="182"/>
      <c r="N500" s="182"/>
      <c r="O500" s="234" t="s">
        <v>1133</v>
      </c>
      <c r="P500" s="182"/>
      <c r="Q500" s="182"/>
      <c r="R500" s="182"/>
      <c r="S500" s="182"/>
    </row>
    <row r="501" spans="1:19" x14ac:dyDescent="0.2">
      <c r="A501" s="188"/>
      <c r="B501" s="178"/>
      <c r="C501" s="178"/>
      <c r="D501" s="187" t="s">
        <v>1133</v>
      </c>
      <c r="G501" s="182"/>
      <c r="H501" s="198"/>
      <c r="I501" s="187"/>
      <c r="J501" s="204">
        <v>4</v>
      </c>
      <c r="K501" s="182"/>
      <c r="L501" s="197" t="s">
        <v>1342</v>
      </c>
      <c r="M501" s="182"/>
      <c r="N501" s="182"/>
      <c r="O501" s="234" t="s">
        <v>1133</v>
      </c>
      <c r="P501" s="182"/>
      <c r="Q501" s="182"/>
      <c r="R501" s="182"/>
      <c r="S501" s="182"/>
    </row>
    <row r="502" spans="1:19" x14ac:dyDescent="0.2">
      <c r="A502" s="188"/>
      <c r="B502" s="178"/>
      <c r="C502" s="178"/>
      <c r="D502" s="187" t="s">
        <v>1133</v>
      </c>
      <c r="G502" s="182"/>
      <c r="H502" s="198"/>
      <c r="I502" s="187"/>
      <c r="J502" s="204">
        <v>5</v>
      </c>
      <c r="K502" s="182"/>
      <c r="L502" s="197" t="s">
        <v>1407</v>
      </c>
      <c r="M502" s="182"/>
      <c r="N502" s="182"/>
      <c r="O502" s="234" t="s">
        <v>1133</v>
      </c>
      <c r="P502" s="182"/>
      <c r="Q502" s="182"/>
      <c r="R502" s="182"/>
      <c r="S502" s="182"/>
    </row>
    <row r="503" spans="1:19" x14ac:dyDescent="0.2">
      <c r="A503" s="188"/>
      <c r="B503" s="178"/>
      <c r="C503" s="178"/>
      <c r="D503" s="187" t="s">
        <v>1133</v>
      </c>
      <c r="G503" s="182"/>
      <c r="H503" s="198"/>
      <c r="I503" s="187"/>
      <c r="J503" s="204">
        <v>6</v>
      </c>
      <c r="K503" s="182"/>
      <c r="L503" s="197" t="s">
        <v>1416</v>
      </c>
      <c r="M503" s="182"/>
      <c r="N503" s="182"/>
      <c r="O503" s="234" t="s">
        <v>1133</v>
      </c>
      <c r="P503" s="182"/>
      <c r="Q503" s="182"/>
      <c r="R503" s="182"/>
      <c r="S503" s="182"/>
    </row>
    <row r="504" spans="1:19" x14ac:dyDescent="0.2">
      <c r="A504" s="188"/>
      <c r="B504" s="178"/>
      <c r="C504" s="178"/>
      <c r="D504" s="187" t="s">
        <v>1133</v>
      </c>
      <c r="G504" s="182"/>
      <c r="H504" s="198"/>
      <c r="I504" s="187"/>
      <c r="J504" s="204">
        <v>7</v>
      </c>
      <c r="K504" s="182"/>
      <c r="L504" s="197" t="s">
        <v>1408</v>
      </c>
      <c r="M504" s="182"/>
      <c r="N504" s="182"/>
      <c r="O504" s="234" t="s">
        <v>1133</v>
      </c>
      <c r="P504" s="182"/>
      <c r="Q504" s="182"/>
      <c r="R504" s="182"/>
      <c r="S504" s="182"/>
    </row>
    <row r="505" spans="1:19" x14ac:dyDescent="0.2">
      <c r="A505" s="188"/>
      <c r="B505" s="178"/>
      <c r="C505" s="178"/>
      <c r="D505" s="187"/>
      <c r="G505" s="182"/>
      <c r="H505" s="198"/>
      <c r="I505" s="199" t="s">
        <v>1127</v>
      </c>
      <c r="J505" s="200"/>
      <c r="K505" s="211" t="s">
        <v>1417</v>
      </c>
      <c r="L505" s="202"/>
      <c r="M505" s="202"/>
      <c r="N505" s="202"/>
      <c r="O505" s="243"/>
      <c r="P505" s="182"/>
      <c r="Q505" s="182"/>
      <c r="R505" s="182"/>
      <c r="S505" s="182"/>
    </row>
    <row r="506" spans="1:19" x14ac:dyDescent="0.2">
      <c r="A506" s="188"/>
      <c r="B506" s="178"/>
      <c r="C506" s="178"/>
      <c r="D506" s="187" t="s">
        <v>1133</v>
      </c>
      <c r="G506" s="182"/>
      <c r="H506" s="198"/>
      <c r="I506" s="187"/>
      <c r="J506" s="204">
        <v>1</v>
      </c>
      <c r="K506" s="182"/>
      <c r="L506" s="197" t="s">
        <v>1410</v>
      </c>
      <c r="M506" s="182"/>
      <c r="N506" s="182"/>
      <c r="O506" s="234" t="s">
        <v>1133</v>
      </c>
      <c r="P506" s="182"/>
      <c r="Q506" s="182"/>
      <c r="R506" s="182"/>
      <c r="S506" s="182"/>
    </row>
    <row r="507" spans="1:19" x14ac:dyDescent="0.2">
      <c r="A507" s="188"/>
      <c r="B507" s="178"/>
      <c r="C507" s="178"/>
      <c r="D507" s="187" t="s">
        <v>1133</v>
      </c>
      <c r="G507" s="182"/>
      <c r="H507" s="198"/>
      <c r="I507" s="187"/>
      <c r="J507" s="204">
        <v>2</v>
      </c>
      <c r="K507" s="182"/>
      <c r="L507" s="197" t="s">
        <v>1231</v>
      </c>
      <c r="M507" s="182"/>
      <c r="N507" s="182"/>
      <c r="O507" s="234" t="s">
        <v>1133</v>
      </c>
      <c r="P507" s="182"/>
      <c r="Q507" s="182"/>
      <c r="R507" s="182"/>
      <c r="S507" s="182"/>
    </row>
    <row r="508" spans="1:19" x14ac:dyDescent="0.2">
      <c r="A508" s="188"/>
      <c r="B508" s="178"/>
      <c r="C508" s="178"/>
      <c r="D508" s="187" t="s">
        <v>1133</v>
      </c>
      <c r="G508" s="182"/>
      <c r="H508" s="198"/>
      <c r="I508" s="187"/>
      <c r="J508" s="204">
        <v>3</v>
      </c>
      <c r="K508" s="182"/>
      <c r="L508" s="197" t="s">
        <v>1420</v>
      </c>
      <c r="M508" s="182"/>
      <c r="N508" s="182"/>
      <c r="O508" s="234" t="s">
        <v>1133</v>
      </c>
      <c r="P508" s="182"/>
      <c r="Q508" s="182"/>
      <c r="R508" s="182"/>
      <c r="S508" s="182"/>
    </row>
    <row r="509" spans="1:19" x14ac:dyDescent="0.2">
      <c r="A509" s="188"/>
      <c r="B509" s="178"/>
      <c r="C509" s="178"/>
      <c r="D509" s="187" t="s">
        <v>1133</v>
      </c>
      <c r="G509" s="182"/>
      <c r="H509" s="198"/>
      <c r="I509" s="187"/>
      <c r="J509" s="204">
        <v>4</v>
      </c>
      <c r="K509" s="182"/>
      <c r="L509" s="197" t="s">
        <v>1405</v>
      </c>
      <c r="M509" s="182"/>
      <c r="N509" s="182"/>
      <c r="O509" s="234" t="s">
        <v>1133</v>
      </c>
      <c r="P509" s="182"/>
      <c r="Q509" s="182"/>
      <c r="R509" s="182"/>
      <c r="S509" s="182"/>
    </row>
    <row r="510" spans="1:19" x14ac:dyDescent="0.2">
      <c r="A510" s="188"/>
      <c r="B510" s="178"/>
      <c r="C510" s="178"/>
      <c r="D510" s="187" t="s">
        <v>1133</v>
      </c>
      <c r="G510" s="182"/>
      <c r="H510" s="198"/>
      <c r="I510" s="187"/>
      <c r="J510" s="204">
        <v>5</v>
      </c>
      <c r="K510" s="182"/>
      <c r="L510" s="197" t="s">
        <v>1342</v>
      </c>
      <c r="M510" s="182"/>
      <c r="N510" s="182"/>
      <c r="O510" s="234" t="s">
        <v>1133</v>
      </c>
      <c r="P510" s="182"/>
      <c r="Q510" s="182"/>
      <c r="R510" s="182"/>
      <c r="S510" s="182"/>
    </row>
    <row r="511" spans="1:19" x14ac:dyDescent="0.2">
      <c r="A511" s="188"/>
      <c r="B511" s="178"/>
      <c r="C511" s="178"/>
      <c r="D511" s="187" t="s">
        <v>1133</v>
      </c>
      <c r="G511" s="182"/>
      <c r="H511" s="198"/>
      <c r="I511" s="187"/>
      <c r="J511" s="204">
        <v>6</v>
      </c>
      <c r="K511" s="182"/>
      <c r="L511" s="197" t="s">
        <v>1424</v>
      </c>
      <c r="M511" s="182"/>
      <c r="N511" s="182"/>
      <c r="O511" s="234" t="s">
        <v>1133</v>
      </c>
      <c r="P511" s="182"/>
      <c r="Q511" s="182"/>
      <c r="R511" s="182"/>
      <c r="S511" s="182"/>
    </row>
    <row r="512" spans="1:19" x14ac:dyDescent="0.2">
      <c r="A512" s="188"/>
      <c r="B512" s="178"/>
      <c r="C512" s="178"/>
      <c r="D512" s="187" t="s">
        <v>1133</v>
      </c>
      <c r="G512" s="182"/>
      <c r="H512" s="198"/>
      <c r="I512" s="187"/>
      <c r="J512" s="204">
        <v>7</v>
      </c>
      <c r="K512" s="182"/>
      <c r="L512" s="197" t="s">
        <v>1416</v>
      </c>
      <c r="M512" s="182"/>
      <c r="N512" s="182"/>
      <c r="O512" s="234" t="s">
        <v>1133</v>
      </c>
      <c r="P512" s="182"/>
      <c r="Q512" s="182"/>
      <c r="R512" s="182"/>
      <c r="S512" s="182"/>
    </row>
    <row r="513" spans="1:19" x14ac:dyDescent="0.2">
      <c r="A513" s="188"/>
      <c r="B513" s="178"/>
      <c r="C513" s="178"/>
      <c r="D513" s="187" t="s">
        <v>1133</v>
      </c>
      <c r="G513" s="182"/>
      <c r="H513" s="198"/>
      <c r="I513" s="187"/>
      <c r="J513" s="204">
        <v>8</v>
      </c>
      <c r="K513" s="182"/>
      <c r="L513" s="209" t="s">
        <v>1435</v>
      </c>
      <c r="M513" s="208"/>
      <c r="N513" s="208"/>
      <c r="O513" s="252" t="s">
        <v>1133</v>
      </c>
      <c r="P513" s="182"/>
      <c r="Q513" s="182"/>
      <c r="R513" s="182"/>
      <c r="S513" s="182"/>
    </row>
    <row r="514" spans="1:19" x14ac:dyDescent="0.2">
      <c r="A514" s="188"/>
      <c r="B514" s="178"/>
      <c r="C514" s="178"/>
      <c r="D514" s="187"/>
      <c r="G514" s="182"/>
      <c r="H514" s="198"/>
      <c r="I514" s="199" t="s">
        <v>1130</v>
      </c>
      <c r="J514" s="200"/>
      <c r="K514" s="211" t="s">
        <v>1426</v>
      </c>
      <c r="L514" s="202"/>
      <c r="M514" s="202"/>
      <c r="N514" s="202"/>
      <c r="O514" s="243"/>
      <c r="P514" s="182"/>
      <c r="Q514" s="182"/>
      <c r="R514" s="182"/>
      <c r="S514" s="182"/>
    </row>
    <row r="515" spans="1:19" x14ac:dyDescent="0.2">
      <c r="A515" s="188"/>
      <c r="B515" s="178"/>
      <c r="C515" s="178"/>
      <c r="D515" s="187" t="s">
        <v>1133</v>
      </c>
      <c r="G515" s="182"/>
      <c r="H515" s="198"/>
      <c r="I515" s="187"/>
      <c r="J515" s="204">
        <v>1</v>
      </c>
      <c r="K515" s="182"/>
      <c r="L515" s="197" t="s">
        <v>1410</v>
      </c>
      <c r="M515" s="182"/>
      <c r="N515" s="182"/>
      <c r="O515" s="234" t="s">
        <v>1133</v>
      </c>
      <c r="P515" s="182"/>
      <c r="Q515" s="182"/>
      <c r="R515" s="182"/>
      <c r="S515" s="182"/>
    </row>
    <row r="516" spans="1:19" x14ac:dyDescent="0.2">
      <c r="A516" s="188"/>
      <c r="B516" s="178"/>
      <c r="C516" s="178"/>
      <c r="D516" s="187" t="s">
        <v>1133</v>
      </c>
      <c r="G516" s="182"/>
      <c r="H516" s="198"/>
      <c r="I516" s="187"/>
      <c r="J516" s="204">
        <v>2</v>
      </c>
      <c r="K516" s="182"/>
      <c r="L516" s="197" t="s">
        <v>1231</v>
      </c>
      <c r="M516" s="182"/>
      <c r="N516" s="182"/>
      <c r="O516" s="234" t="s">
        <v>1133</v>
      </c>
      <c r="P516" s="182"/>
      <c r="Q516" s="182"/>
      <c r="R516" s="182"/>
      <c r="S516" s="182"/>
    </row>
    <row r="517" spans="1:19" x14ac:dyDescent="0.2">
      <c r="A517" s="188"/>
      <c r="B517" s="178"/>
      <c r="C517" s="178"/>
      <c r="D517" s="187" t="s">
        <v>1133</v>
      </c>
      <c r="G517" s="182"/>
      <c r="H517" s="198"/>
      <c r="I517" s="187"/>
      <c r="J517" s="204">
        <v>3</v>
      </c>
      <c r="K517" s="182"/>
      <c r="L517" s="197" t="s">
        <v>1420</v>
      </c>
      <c r="M517" s="182"/>
      <c r="N517" s="182"/>
      <c r="O517" s="234" t="s">
        <v>1133</v>
      </c>
      <c r="P517" s="182"/>
      <c r="Q517" s="182"/>
      <c r="R517" s="182"/>
      <c r="S517" s="182"/>
    </row>
    <row r="518" spans="1:19" x14ac:dyDescent="0.2">
      <c r="A518" s="188"/>
      <c r="B518" s="178"/>
      <c r="C518" s="178"/>
      <c r="D518" s="187" t="s">
        <v>1133</v>
      </c>
      <c r="G518" s="182"/>
      <c r="H518" s="198"/>
      <c r="I518" s="187"/>
      <c r="J518" s="204">
        <v>4</v>
      </c>
      <c r="K518" s="182"/>
      <c r="L518" s="197" t="s">
        <v>1424</v>
      </c>
      <c r="M518" s="182"/>
      <c r="N518" s="182"/>
      <c r="O518" s="234" t="s">
        <v>1133</v>
      </c>
      <c r="P518" s="182"/>
      <c r="Q518" s="182"/>
      <c r="R518" s="182"/>
      <c r="S518" s="182"/>
    </row>
    <row r="519" spans="1:19" x14ac:dyDescent="0.2">
      <c r="A519" s="188"/>
      <c r="B519" s="178"/>
      <c r="C519" s="178"/>
      <c r="D519" s="187" t="s">
        <v>1133</v>
      </c>
      <c r="G519" s="182"/>
      <c r="H519" s="198"/>
      <c r="I519" s="187"/>
      <c r="J519" s="204">
        <v>5</v>
      </c>
      <c r="K519" s="182"/>
      <c r="L519" s="197" t="s">
        <v>1416</v>
      </c>
      <c r="M519" s="182"/>
      <c r="N519" s="182"/>
      <c r="O519" s="234" t="s">
        <v>1133</v>
      </c>
      <c r="P519" s="182"/>
      <c r="Q519" s="182"/>
      <c r="R519" s="182"/>
      <c r="S519" s="182"/>
    </row>
    <row r="520" spans="1:19" ht="15.75" thickBot="1" x14ac:dyDescent="0.25">
      <c r="A520" s="188"/>
      <c r="B520" s="178"/>
      <c r="C520" s="178"/>
      <c r="D520" s="187" t="s">
        <v>1133</v>
      </c>
      <c r="G520" s="182"/>
      <c r="H520" s="213"/>
      <c r="I520" s="214"/>
      <c r="J520" s="215">
        <v>6</v>
      </c>
      <c r="K520" s="216"/>
      <c r="L520" s="217" t="s">
        <v>1408</v>
      </c>
      <c r="M520" s="216"/>
      <c r="N520" s="216"/>
      <c r="O520" s="278" t="s">
        <v>1133</v>
      </c>
      <c r="P520" s="182"/>
      <c r="Q520" s="182"/>
      <c r="R520" s="182"/>
      <c r="S520" s="182"/>
    </row>
    <row r="521" spans="1:19" ht="15.75" thickTop="1" x14ac:dyDescent="0.2">
      <c r="A521" s="188">
        <v>46</v>
      </c>
      <c r="B521" s="178" t="s">
        <v>1436</v>
      </c>
      <c r="C521" s="178" t="s">
        <v>1437</v>
      </c>
      <c r="D521" s="187"/>
      <c r="G521" s="182"/>
      <c r="H521" s="220">
        <v>46</v>
      </c>
      <c r="I521" s="222"/>
      <c r="J521" s="232"/>
      <c r="K521" s="277" t="s">
        <v>1437</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1216</v>
      </c>
      <c r="G522" s="182"/>
      <c r="H522" s="198"/>
      <c r="I522" s="199" t="s">
        <v>1022</v>
      </c>
      <c r="J522" s="182"/>
      <c r="K522" s="197" t="s">
        <v>1438</v>
      </c>
      <c r="L522" s="182"/>
      <c r="M522" s="182"/>
      <c r="N522" s="182"/>
      <c r="O522" s="234" t="s">
        <v>1216</v>
      </c>
      <c r="P522" s="182"/>
      <c r="Q522" s="182"/>
      <c r="R522" s="182"/>
      <c r="S522" s="182"/>
    </row>
    <row r="523" spans="1:19" x14ac:dyDescent="0.2">
      <c r="A523" s="188"/>
      <c r="B523" s="178"/>
      <c r="C523" s="178"/>
      <c r="D523" s="187"/>
      <c r="G523" s="182"/>
      <c r="H523" s="198"/>
      <c r="I523" s="199" t="s">
        <v>1049</v>
      </c>
      <c r="J523" s="200"/>
      <c r="K523" s="211" t="s">
        <v>1439</v>
      </c>
      <c r="L523" s="202"/>
      <c r="M523" s="202"/>
      <c r="N523" s="202"/>
      <c r="O523" s="243"/>
      <c r="P523" s="182"/>
      <c r="Q523" s="182"/>
      <c r="R523" s="182"/>
      <c r="S523" s="182"/>
    </row>
    <row r="524" spans="1:19" x14ac:dyDescent="0.2">
      <c r="A524" s="188"/>
      <c r="B524" s="178"/>
      <c r="C524" s="178"/>
      <c r="D524" s="187" t="s">
        <v>1216</v>
      </c>
      <c r="G524" s="182"/>
      <c r="H524" s="198"/>
      <c r="I524" s="187"/>
      <c r="J524" s="204">
        <v>1</v>
      </c>
      <c r="K524" s="182"/>
      <c r="L524" s="197" t="s">
        <v>1440</v>
      </c>
      <c r="M524" s="182"/>
      <c r="N524" s="182"/>
      <c r="O524" s="234" t="s">
        <v>1216</v>
      </c>
      <c r="P524" s="182"/>
      <c r="Q524" s="182"/>
      <c r="R524" s="182"/>
      <c r="S524" s="182"/>
    </row>
    <row r="525" spans="1:19" ht="15.75" thickBot="1" x14ac:dyDescent="0.25">
      <c r="A525" s="188"/>
      <c r="B525" s="178"/>
      <c r="C525" s="178"/>
      <c r="D525" s="187" t="s">
        <v>1216</v>
      </c>
      <c r="G525" s="182"/>
      <c r="H525" s="213"/>
      <c r="I525" s="214"/>
      <c r="J525" s="215">
        <v>2</v>
      </c>
      <c r="K525" s="216"/>
      <c r="L525" s="217" t="s">
        <v>1441</v>
      </c>
      <c r="M525" s="216"/>
      <c r="N525" s="216"/>
      <c r="O525" s="278" t="s">
        <v>1216</v>
      </c>
      <c r="P525" s="182"/>
      <c r="Q525" s="182"/>
      <c r="R525" s="182"/>
      <c r="S525" s="182"/>
    </row>
    <row r="526" spans="1:19" ht="15.75" thickTop="1" x14ac:dyDescent="0.2">
      <c r="A526" s="188">
        <v>47</v>
      </c>
      <c r="B526" s="178" t="s">
        <v>1442</v>
      </c>
      <c r="C526" s="178" t="s">
        <v>1443</v>
      </c>
      <c r="D526" s="187"/>
      <c r="G526" s="182"/>
      <c r="H526" s="220">
        <v>47</v>
      </c>
      <c r="I526" s="222"/>
      <c r="J526" s="232"/>
      <c r="K526" s="277" t="s">
        <v>1443</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1216</v>
      </c>
      <c r="G527" s="182"/>
      <c r="H527" s="198"/>
      <c r="I527" s="199" t="s">
        <v>1022</v>
      </c>
      <c r="J527" s="240"/>
      <c r="K527" s="257" t="s">
        <v>1440</v>
      </c>
      <c r="L527" s="257"/>
      <c r="M527" s="257"/>
      <c r="N527" s="240"/>
      <c r="O527" s="256" t="s">
        <v>1216</v>
      </c>
      <c r="P527" s="182"/>
      <c r="Q527" s="182"/>
      <c r="R527" s="182"/>
      <c r="S527" s="182"/>
    </row>
    <row r="528" spans="1:19" ht="15.75" thickBot="1" x14ac:dyDescent="0.25">
      <c r="A528" s="188"/>
      <c r="B528" s="178"/>
      <c r="C528" s="178"/>
      <c r="D528" s="187" t="s">
        <v>1216</v>
      </c>
      <c r="G528" s="182"/>
      <c r="H528" s="244"/>
      <c r="I528" s="246" t="s">
        <v>1049</v>
      </c>
      <c r="J528" s="247"/>
      <c r="K528" s="248" t="s">
        <v>1441</v>
      </c>
      <c r="L528" s="248"/>
      <c r="M528" s="248"/>
      <c r="N528" s="247"/>
      <c r="O528" s="280" t="s">
        <v>1216</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1444</v>
      </c>
      <c r="C531" s="178" t="s">
        <v>1445</v>
      </c>
      <c r="D531" s="187"/>
      <c r="G531" s="182"/>
      <c r="H531" s="220">
        <v>48</v>
      </c>
      <c r="I531" s="222"/>
      <c r="J531" s="232"/>
      <c r="K531" s="277" t="s">
        <v>1445</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1446</v>
      </c>
      <c r="G532" s="182"/>
      <c r="H532" s="198"/>
      <c r="I532" s="301" t="s">
        <v>1022</v>
      </c>
      <c r="J532" s="182"/>
      <c r="K532" s="197" t="s">
        <v>1447</v>
      </c>
      <c r="L532" s="197"/>
      <c r="M532" s="197"/>
      <c r="N532" s="182"/>
      <c r="O532" s="234" t="s">
        <v>1446</v>
      </c>
      <c r="P532" s="182"/>
      <c r="Q532" s="182"/>
      <c r="R532" s="182"/>
      <c r="S532" s="182"/>
    </row>
    <row r="533" spans="1:19" x14ac:dyDescent="0.2">
      <c r="A533" s="188"/>
      <c r="B533" s="178"/>
      <c r="C533" s="178"/>
      <c r="D533" s="187" t="s">
        <v>1133</v>
      </c>
      <c r="G533" s="182"/>
      <c r="H533" s="198"/>
      <c r="I533" s="199" t="s">
        <v>1049</v>
      </c>
      <c r="J533" s="240"/>
      <c r="K533" s="257" t="s">
        <v>1448</v>
      </c>
      <c r="L533" s="257"/>
      <c r="M533" s="257"/>
      <c r="N533" s="240"/>
      <c r="O533" s="256" t="s">
        <v>1133</v>
      </c>
      <c r="P533" s="182"/>
      <c r="Q533" s="182"/>
      <c r="R533" s="182"/>
      <c r="S533" s="182"/>
    </row>
    <row r="534" spans="1:19" x14ac:dyDescent="0.2">
      <c r="A534" s="188"/>
      <c r="B534" s="178"/>
      <c r="C534" s="178"/>
      <c r="D534" s="187" t="s">
        <v>1133</v>
      </c>
      <c r="G534" s="182"/>
      <c r="H534" s="198"/>
      <c r="I534" s="204" t="s">
        <v>1059</v>
      </c>
      <c r="J534" s="182"/>
      <c r="K534" s="197" t="s">
        <v>1449</v>
      </c>
      <c r="L534" s="197"/>
      <c r="M534" s="197"/>
      <c r="N534" s="182"/>
      <c r="O534" s="234" t="s">
        <v>1133</v>
      </c>
      <c r="P534" s="182"/>
      <c r="Q534" s="182"/>
      <c r="R534" s="182"/>
      <c r="S534" s="182"/>
    </row>
    <row r="535" spans="1:19" x14ac:dyDescent="0.2">
      <c r="A535" s="188"/>
      <c r="B535" s="178"/>
      <c r="C535" s="178"/>
      <c r="D535" s="187" t="s">
        <v>1133</v>
      </c>
      <c r="G535" s="182"/>
      <c r="H535" s="198"/>
      <c r="I535" s="301" t="s">
        <v>1085</v>
      </c>
      <c r="J535" s="202"/>
      <c r="K535" s="211" t="s">
        <v>1450</v>
      </c>
      <c r="L535" s="211"/>
      <c r="M535" s="211"/>
      <c r="N535" s="202"/>
      <c r="O535" s="243" t="s">
        <v>1133</v>
      </c>
      <c r="P535" s="182"/>
      <c r="Q535" s="182"/>
      <c r="R535" s="182"/>
      <c r="S535" s="182"/>
    </row>
    <row r="536" spans="1:19" x14ac:dyDescent="0.2">
      <c r="A536" s="188"/>
      <c r="B536" s="178"/>
      <c r="C536" s="178"/>
      <c r="D536" s="187" t="s">
        <v>1133</v>
      </c>
      <c r="G536" s="182"/>
      <c r="H536" s="198"/>
      <c r="I536" s="199" t="s">
        <v>1127</v>
      </c>
      <c r="J536" s="240"/>
      <c r="K536" s="257" t="s">
        <v>1451</v>
      </c>
      <c r="L536" s="257"/>
      <c r="M536" s="257"/>
      <c r="N536" s="240"/>
      <c r="O536" s="256" t="s">
        <v>1133</v>
      </c>
      <c r="P536" s="182"/>
      <c r="Q536" s="182"/>
      <c r="R536" s="182"/>
      <c r="S536" s="182"/>
    </row>
    <row r="537" spans="1:19" x14ac:dyDescent="0.2">
      <c r="A537" s="188"/>
      <c r="B537" s="178"/>
      <c r="C537" s="178"/>
      <c r="D537" s="187" t="s">
        <v>1250</v>
      </c>
      <c r="G537" s="182"/>
      <c r="H537" s="198"/>
      <c r="I537" s="204" t="s">
        <v>1130</v>
      </c>
      <c r="J537" s="182"/>
      <c r="K537" s="197" t="s">
        <v>1452</v>
      </c>
      <c r="L537" s="197"/>
      <c r="M537" s="197"/>
      <c r="N537" s="182"/>
      <c r="O537" s="234" t="s">
        <v>1250</v>
      </c>
      <c r="P537" s="182"/>
      <c r="Q537" s="182"/>
      <c r="R537" s="182"/>
      <c r="S537" s="182"/>
    </row>
    <row r="538" spans="1:19" x14ac:dyDescent="0.2">
      <c r="A538" s="188"/>
      <c r="B538" s="178"/>
      <c r="C538" s="178"/>
      <c r="D538" s="187" t="s">
        <v>998</v>
      </c>
      <c r="G538" s="182"/>
      <c r="H538" s="198"/>
      <c r="I538" s="199" t="s">
        <v>1134</v>
      </c>
      <c r="J538" s="240"/>
      <c r="K538" s="257" t="s">
        <v>1453</v>
      </c>
      <c r="L538" s="257"/>
      <c r="M538" s="257"/>
      <c r="N538" s="240"/>
      <c r="O538" s="256" t="s">
        <v>998</v>
      </c>
      <c r="P538" s="182"/>
      <c r="Q538" s="182"/>
      <c r="R538" s="182"/>
      <c r="S538" s="182"/>
    </row>
    <row r="539" spans="1:19" ht="15.75" thickBot="1" x14ac:dyDescent="0.25">
      <c r="A539" s="188"/>
      <c r="B539" s="178"/>
      <c r="C539" s="178"/>
      <c r="D539" s="187" t="s">
        <v>998</v>
      </c>
      <c r="G539" s="182"/>
      <c r="H539" s="213"/>
      <c r="I539" s="215" t="s">
        <v>1137</v>
      </c>
      <c r="J539" s="216"/>
      <c r="K539" s="217" t="s">
        <v>1454</v>
      </c>
      <c r="L539" s="217"/>
      <c r="M539" s="217"/>
      <c r="N539" s="216"/>
      <c r="O539" s="278" t="s">
        <v>998</v>
      </c>
      <c r="P539" s="182"/>
      <c r="Q539" s="182"/>
      <c r="R539" s="182"/>
      <c r="S539" s="182"/>
    </row>
    <row r="540" spans="1:19" ht="15.75" thickTop="1" x14ac:dyDescent="0.2">
      <c r="A540" s="188">
        <v>49</v>
      </c>
      <c r="B540" s="178" t="s">
        <v>1455</v>
      </c>
      <c r="C540" s="178" t="s">
        <v>1456</v>
      </c>
      <c r="D540" s="187"/>
      <c r="G540" s="182"/>
      <c r="H540" s="220">
        <v>49</v>
      </c>
      <c r="I540" s="222"/>
      <c r="J540" s="232"/>
      <c r="K540" s="277" t="s">
        <v>1456</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1216</v>
      </c>
      <c r="G541" s="182"/>
      <c r="H541" s="224"/>
      <c r="I541" s="225" t="s">
        <v>1022</v>
      </c>
      <c r="J541" s="226"/>
      <c r="K541" s="259" t="s">
        <v>1136</v>
      </c>
      <c r="L541" s="228"/>
      <c r="M541" s="228"/>
      <c r="N541" s="228"/>
      <c r="O541" s="260" t="s">
        <v>1216</v>
      </c>
      <c r="P541" s="182"/>
      <c r="Q541" s="182"/>
      <c r="R541" s="182"/>
      <c r="S541" s="182"/>
    </row>
    <row r="542" spans="1:19" ht="15.75" thickTop="1" x14ac:dyDescent="0.2">
      <c r="A542" s="188">
        <v>50</v>
      </c>
      <c r="B542" s="178" t="s">
        <v>1457</v>
      </c>
      <c r="C542" s="178" t="s">
        <v>1458</v>
      </c>
      <c r="D542" s="187"/>
      <c r="G542" s="182"/>
      <c r="H542" s="220">
        <v>50</v>
      </c>
      <c r="I542" s="222"/>
      <c r="J542" s="232"/>
      <c r="K542" s="277" t="s">
        <v>1458</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1022</v>
      </c>
      <c r="J543" s="200"/>
      <c r="K543" s="211" t="s">
        <v>1459</v>
      </c>
      <c r="L543" s="202"/>
      <c r="M543" s="202"/>
      <c r="N543" s="202"/>
      <c r="O543" s="243"/>
      <c r="P543" s="182"/>
      <c r="Q543" s="182"/>
      <c r="R543" s="182"/>
      <c r="S543" s="182"/>
    </row>
    <row r="544" spans="1:19" x14ac:dyDescent="0.2">
      <c r="A544" s="188"/>
      <c r="B544" s="178"/>
      <c r="C544" s="178"/>
      <c r="D544" s="187" t="s">
        <v>1216</v>
      </c>
      <c r="G544" s="182"/>
      <c r="H544" s="198"/>
      <c r="I544" s="187"/>
      <c r="J544" s="204">
        <v>1</v>
      </c>
      <c r="K544" s="182"/>
      <c r="L544" s="197" t="s">
        <v>1460</v>
      </c>
      <c r="M544" s="182"/>
      <c r="N544" s="182"/>
      <c r="O544" s="234" t="s">
        <v>1216</v>
      </c>
      <c r="P544" s="182"/>
      <c r="Q544" s="182"/>
      <c r="R544" s="182"/>
      <c r="S544" s="182"/>
    </row>
    <row r="545" spans="1:19" x14ac:dyDescent="0.2">
      <c r="A545" s="188"/>
      <c r="B545" s="178"/>
      <c r="C545" s="178"/>
      <c r="D545" s="187" t="s">
        <v>1216</v>
      </c>
      <c r="G545" s="182"/>
      <c r="H545" s="198"/>
      <c r="I545" s="187"/>
      <c r="J545" s="204">
        <v>2</v>
      </c>
      <c r="K545" s="182"/>
      <c r="L545" s="197" t="s">
        <v>1322</v>
      </c>
      <c r="M545" s="182"/>
      <c r="N545" s="182"/>
      <c r="O545" s="234" t="s">
        <v>1216</v>
      </c>
      <c r="P545" s="182"/>
      <c r="Q545" s="182"/>
      <c r="R545" s="182"/>
      <c r="S545" s="182"/>
    </row>
    <row r="546" spans="1:19" x14ac:dyDescent="0.2">
      <c r="A546" s="188"/>
      <c r="B546" s="178"/>
      <c r="C546" s="178"/>
      <c r="D546" s="187" t="s">
        <v>1216</v>
      </c>
      <c r="G546" s="182"/>
      <c r="H546" s="198"/>
      <c r="I546" s="187"/>
      <c r="J546" s="204">
        <v>3</v>
      </c>
      <c r="K546" s="182"/>
      <c r="L546" s="197" t="s">
        <v>1342</v>
      </c>
      <c r="M546" s="182"/>
      <c r="N546" s="182"/>
      <c r="O546" s="234" t="s">
        <v>1216</v>
      </c>
      <c r="P546" s="182"/>
      <c r="Q546" s="182"/>
      <c r="R546" s="182"/>
      <c r="S546" s="182"/>
    </row>
    <row r="547" spans="1:19" x14ac:dyDescent="0.2">
      <c r="A547" s="188"/>
      <c r="B547" s="178"/>
      <c r="C547" s="178"/>
      <c r="D547" s="187" t="s">
        <v>1216</v>
      </c>
      <c r="G547" s="182"/>
      <c r="H547" s="198"/>
      <c r="I547" s="187"/>
      <c r="J547" s="204">
        <v>4</v>
      </c>
      <c r="K547" s="182"/>
      <c r="L547" s="197" t="s">
        <v>1461</v>
      </c>
      <c r="M547" s="182"/>
      <c r="N547" s="182"/>
      <c r="O547" s="234" t="s">
        <v>1216</v>
      </c>
      <c r="P547" s="182"/>
      <c r="Q547" s="182"/>
      <c r="R547" s="182"/>
      <c r="S547" s="182"/>
    </row>
    <row r="548" spans="1:19" x14ac:dyDescent="0.2">
      <c r="A548" s="188"/>
      <c r="B548" s="178"/>
      <c r="C548" s="178"/>
      <c r="D548" s="187" t="s">
        <v>1216</v>
      </c>
      <c r="G548" s="182"/>
      <c r="H548" s="198"/>
      <c r="I548" s="187"/>
      <c r="J548" s="204">
        <v>5</v>
      </c>
      <c r="K548" s="182"/>
      <c r="L548" s="197" t="s">
        <v>1462</v>
      </c>
      <c r="M548" s="182"/>
      <c r="N548" s="182"/>
      <c r="O548" s="234" t="s">
        <v>1216</v>
      </c>
      <c r="P548" s="182"/>
      <c r="Q548" s="182"/>
      <c r="R548" s="182"/>
      <c r="S548" s="182"/>
    </row>
    <row r="549" spans="1:19" x14ac:dyDescent="0.2">
      <c r="A549" s="188"/>
      <c r="B549" s="178"/>
      <c r="C549" s="178"/>
      <c r="D549" s="187" t="s">
        <v>1216</v>
      </c>
      <c r="G549" s="182"/>
      <c r="H549" s="198"/>
      <c r="I549" s="199" t="s">
        <v>1049</v>
      </c>
      <c r="J549" s="302"/>
      <c r="K549" s="257" t="s">
        <v>1091</v>
      </c>
      <c r="L549" s="257"/>
      <c r="M549" s="240"/>
      <c r="N549" s="240"/>
      <c r="O549" s="256" t="s">
        <v>1216</v>
      </c>
      <c r="P549" s="182"/>
      <c r="Q549" s="182"/>
      <c r="R549" s="182"/>
      <c r="S549" s="182"/>
    </row>
    <row r="550" spans="1:19" ht="15.75" thickBot="1" x14ac:dyDescent="0.25">
      <c r="A550" s="188"/>
      <c r="B550" s="178"/>
      <c r="C550" s="178"/>
      <c r="D550" s="187" t="s">
        <v>1216</v>
      </c>
      <c r="G550" s="182"/>
      <c r="H550" s="198"/>
      <c r="I550" s="215" t="s">
        <v>1059</v>
      </c>
      <c r="J550" s="187"/>
      <c r="K550" s="197" t="s">
        <v>1197</v>
      </c>
      <c r="L550" s="197"/>
      <c r="M550" s="182"/>
      <c r="N550" s="182"/>
      <c r="O550" s="234" t="s">
        <v>1216</v>
      </c>
      <c r="P550" s="182"/>
      <c r="Q550" s="182"/>
      <c r="R550" s="182"/>
      <c r="S550" s="182"/>
    </row>
    <row r="551" spans="1:19" ht="16.5" thickTop="1" thickBot="1" x14ac:dyDescent="0.25">
      <c r="A551" s="188">
        <v>51</v>
      </c>
      <c r="B551" s="178" t="s">
        <v>1463</v>
      </c>
      <c r="C551" s="178" t="s">
        <v>1464</v>
      </c>
      <c r="D551" s="187" t="s">
        <v>1216</v>
      </c>
      <c r="G551" s="182"/>
      <c r="H551" s="265">
        <v>51</v>
      </c>
      <c r="I551" s="221"/>
      <c r="J551" s="270"/>
      <c r="K551" s="271" t="s">
        <v>1464</v>
      </c>
      <c r="L551" s="270"/>
      <c r="M551" s="270"/>
      <c r="N551" s="270"/>
      <c r="O551" s="223" t="s">
        <v>1216</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1465</v>
      </c>
      <c r="C552" s="178" t="s">
        <v>1466</v>
      </c>
      <c r="D552" s="187"/>
      <c r="G552" s="182"/>
      <c r="H552" s="265">
        <v>52</v>
      </c>
      <c r="I552" s="221"/>
      <c r="J552" s="270"/>
      <c r="K552" s="271" t="s">
        <v>1466</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998</v>
      </c>
      <c r="G553" s="182"/>
      <c r="H553" s="303"/>
      <c r="I553" s="304" t="s">
        <v>1022</v>
      </c>
      <c r="J553" s="305"/>
      <c r="K553" s="306" t="s">
        <v>1467</v>
      </c>
      <c r="L553" s="305"/>
      <c r="M553" s="305"/>
      <c r="N553" s="305"/>
      <c r="O553" s="307" t="s">
        <v>998</v>
      </c>
      <c r="P553" s="182"/>
      <c r="Q553" s="182"/>
      <c r="R553" s="182"/>
      <c r="S553" s="182"/>
    </row>
    <row r="554" spans="1:19" ht="15.75" thickBot="1" x14ac:dyDescent="0.25">
      <c r="A554" s="188"/>
      <c r="B554" s="178"/>
      <c r="C554" s="178"/>
      <c r="D554" s="187" t="s">
        <v>1468</v>
      </c>
      <c r="G554" s="182"/>
      <c r="H554" s="308"/>
      <c r="I554" s="199" t="s">
        <v>1049</v>
      </c>
      <c r="J554" s="208"/>
      <c r="K554" s="209" t="s">
        <v>1469</v>
      </c>
      <c r="L554" s="208"/>
      <c r="M554" s="208"/>
      <c r="N554" s="208"/>
      <c r="O554" s="252" t="s">
        <v>1468</v>
      </c>
      <c r="P554" s="182"/>
      <c r="Q554" s="182"/>
      <c r="R554" s="182"/>
      <c r="S554" s="182"/>
    </row>
    <row r="555" spans="1:19" ht="15.75" thickTop="1" x14ac:dyDescent="0.2">
      <c r="A555" s="188">
        <v>53</v>
      </c>
      <c r="B555" s="178" t="s">
        <v>1470</v>
      </c>
      <c r="C555" s="178" t="s">
        <v>1471</v>
      </c>
      <c r="D555" s="187"/>
      <c r="G555" s="182"/>
      <c r="H555" s="265">
        <v>53</v>
      </c>
      <c r="I555" s="221"/>
      <c r="J555" s="270"/>
      <c r="K555" s="309" t="s">
        <v>1471</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1216</v>
      </c>
      <c r="G556" s="182"/>
      <c r="H556" s="198"/>
      <c r="I556" s="301" t="s">
        <v>1022</v>
      </c>
      <c r="J556" s="182"/>
      <c r="K556" s="257" t="s">
        <v>1472</v>
      </c>
      <c r="L556" s="182"/>
      <c r="M556" s="182"/>
      <c r="N556" s="182"/>
      <c r="O556" s="234" t="s">
        <v>1216</v>
      </c>
      <c r="P556" s="182"/>
      <c r="Q556" s="182"/>
      <c r="R556" s="182"/>
      <c r="S556" s="182"/>
    </row>
    <row r="557" spans="1:19" x14ac:dyDescent="0.2">
      <c r="A557" s="188"/>
      <c r="B557" s="178"/>
      <c r="C557" s="178"/>
      <c r="D557" s="187" t="s">
        <v>1216</v>
      </c>
      <c r="G557" s="182"/>
      <c r="H557" s="198"/>
      <c r="I557" s="199" t="s">
        <v>1049</v>
      </c>
      <c r="J557" s="302"/>
      <c r="K557" s="197" t="s">
        <v>1473</v>
      </c>
      <c r="L557" s="257"/>
      <c r="M557" s="240"/>
      <c r="N557" s="240"/>
      <c r="O557" s="256" t="s">
        <v>1216</v>
      </c>
      <c r="P557" s="182"/>
      <c r="Q557" s="182"/>
      <c r="R557" s="182"/>
      <c r="S557" s="182"/>
    </row>
    <row r="558" spans="1:19" x14ac:dyDescent="0.2">
      <c r="A558" s="188"/>
      <c r="B558" s="178"/>
      <c r="C558" s="178"/>
      <c r="D558" s="187" t="s">
        <v>1216</v>
      </c>
      <c r="G558" s="182"/>
      <c r="H558" s="198"/>
      <c r="I558" s="199" t="s">
        <v>1059</v>
      </c>
      <c r="J558" s="302"/>
      <c r="K558" s="257" t="s">
        <v>1141</v>
      </c>
      <c r="L558" s="257"/>
      <c r="M558" s="257"/>
      <c r="N558" s="240"/>
      <c r="O558" s="256" t="s">
        <v>1216</v>
      </c>
      <c r="P558" s="182"/>
      <c r="Q558" s="182"/>
      <c r="R558" s="182"/>
      <c r="S558" s="182"/>
    </row>
    <row r="559" spans="1:19" ht="15.75" thickBot="1" x14ac:dyDescent="0.25">
      <c r="A559" s="188"/>
      <c r="B559" s="178"/>
      <c r="C559" s="178"/>
      <c r="D559" s="187" t="s">
        <v>1216</v>
      </c>
      <c r="G559" s="182"/>
      <c r="H559" s="198"/>
      <c r="I559" s="215" t="s">
        <v>1085</v>
      </c>
      <c r="J559" s="187"/>
      <c r="K559" s="259" t="s">
        <v>1139</v>
      </c>
      <c r="L559" s="197"/>
      <c r="M559" s="197"/>
      <c r="N559" s="182"/>
      <c r="O559" s="234" t="s">
        <v>1216</v>
      </c>
      <c r="P559" s="182"/>
      <c r="Q559" s="182"/>
      <c r="R559" s="182"/>
      <c r="S559" s="182"/>
    </row>
    <row r="560" spans="1:19" ht="15.75" thickTop="1" x14ac:dyDescent="0.2">
      <c r="A560" s="188">
        <v>54</v>
      </c>
      <c r="B560" s="178" t="s">
        <v>1474</v>
      </c>
      <c r="C560" s="178" t="s">
        <v>1475</v>
      </c>
      <c r="D560" s="187"/>
      <c r="G560" s="182"/>
      <c r="H560" s="265">
        <v>54</v>
      </c>
      <c r="I560" s="221"/>
      <c r="J560" s="270"/>
      <c r="K560" s="277" t="s">
        <v>1475</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1476</v>
      </c>
      <c r="G561" s="182"/>
      <c r="H561" s="198"/>
      <c r="I561" s="199" t="s">
        <v>1022</v>
      </c>
      <c r="J561" s="240"/>
      <c r="K561" s="257" t="s">
        <v>1477</v>
      </c>
      <c r="L561" s="257"/>
      <c r="M561" s="257"/>
      <c r="N561" s="240"/>
      <c r="O561" s="256" t="s">
        <v>1476</v>
      </c>
      <c r="P561" s="182"/>
      <c r="Q561" s="182"/>
      <c r="R561" s="182"/>
      <c r="S561" s="182"/>
    </row>
    <row r="562" spans="1:19" ht="15.75" thickBot="1" x14ac:dyDescent="0.25">
      <c r="A562" s="188">
        <v>2</v>
      </c>
      <c r="B562" s="189" t="str">
        <f>CONCATENATE($B$560,".",TEXT(A562,"0000"))</f>
        <v>II-0054.0002</v>
      </c>
      <c r="C562" s="178" t="str">
        <f>K562</f>
        <v>ADICIONAL POR KM</v>
      </c>
      <c r="D562" s="187" t="s">
        <v>1478</v>
      </c>
      <c r="G562" s="182"/>
      <c r="H562" s="213"/>
      <c r="I562" s="215" t="s">
        <v>1049</v>
      </c>
      <c r="J562" s="216"/>
      <c r="K562" s="217" t="s">
        <v>1479</v>
      </c>
      <c r="L562" s="217"/>
      <c r="M562" s="217"/>
      <c r="N562" s="216"/>
      <c r="O562" s="278" t="s">
        <v>1478</v>
      </c>
      <c r="P562" s="182"/>
      <c r="Q562" s="182"/>
      <c r="R562" s="182"/>
      <c r="S562" s="182"/>
    </row>
    <row r="563" spans="1:19" ht="16.5" thickTop="1" thickBot="1" x14ac:dyDescent="0.25">
      <c r="A563" s="188">
        <v>55</v>
      </c>
      <c r="B563" s="178" t="s">
        <v>1480</v>
      </c>
      <c r="C563" s="178" t="s">
        <v>1481</v>
      </c>
      <c r="D563" s="187" t="s">
        <v>5</v>
      </c>
      <c r="G563" s="182"/>
      <c r="H563" s="220">
        <v>55</v>
      </c>
      <c r="I563" s="222"/>
      <c r="J563" s="232"/>
      <c r="K563" s="277" t="s">
        <v>1481</v>
      </c>
      <c r="L563" s="232"/>
      <c r="M563" s="232"/>
      <c r="N563" s="232"/>
      <c r="O563" s="242" t="s">
        <v>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1482</v>
      </c>
      <c r="C564" s="178" t="s">
        <v>1483</v>
      </c>
      <c r="D564" s="187"/>
      <c r="G564" s="182"/>
      <c r="H564" s="265">
        <v>56</v>
      </c>
      <c r="I564" s="221"/>
      <c r="J564" s="270"/>
      <c r="K564" s="271" t="s">
        <v>1483</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997</v>
      </c>
      <c r="G565" s="182"/>
      <c r="H565" s="198"/>
      <c r="I565" s="301" t="s">
        <v>1022</v>
      </c>
      <c r="J565" s="182"/>
      <c r="K565" s="197" t="s">
        <v>1246</v>
      </c>
      <c r="L565" s="182"/>
      <c r="M565" s="182"/>
      <c r="N565" s="182"/>
      <c r="O565" s="234" t="s">
        <v>997</v>
      </c>
      <c r="P565" s="182"/>
      <c r="Q565" s="182"/>
      <c r="R565" s="182"/>
      <c r="S565" s="182"/>
    </row>
    <row r="566" spans="1:19" x14ac:dyDescent="0.2">
      <c r="A566" s="188"/>
      <c r="B566" s="178"/>
      <c r="C566" s="178"/>
      <c r="D566" s="187"/>
      <c r="G566" s="182"/>
      <c r="H566" s="198"/>
      <c r="I566" s="199" t="s">
        <v>1049</v>
      </c>
      <c r="J566" s="202"/>
      <c r="K566" s="211" t="s">
        <v>1247</v>
      </c>
      <c r="L566" s="202"/>
      <c r="M566" s="202"/>
      <c r="N566" s="202"/>
      <c r="O566" s="243"/>
      <c r="P566" s="182"/>
      <c r="Q566" s="182"/>
      <c r="R566" s="182"/>
      <c r="S566" s="182"/>
    </row>
    <row r="567" spans="1:19" x14ac:dyDescent="0.2">
      <c r="A567" s="188"/>
      <c r="B567" s="178"/>
      <c r="C567" s="178"/>
      <c r="D567" s="187" t="s">
        <v>1258</v>
      </c>
      <c r="G567" s="182"/>
      <c r="H567" s="198"/>
      <c r="I567" s="187"/>
      <c r="J567" s="204">
        <v>1</v>
      </c>
      <c r="K567" s="182"/>
      <c r="L567" s="197" t="s">
        <v>1484</v>
      </c>
      <c r="M567" s="182"/>
      <c r="N567" s="182"/>
      <c r="O567" s="234" t="s">
        <v>1258</v>
      </c>
      <c r="P567" s="182"/>
      <c r="Q567" s="182"/>
      <c r="R567" s="182"/>
      <c r="S567" s="182"/>
    </row>
    <row r="568" spans="1:19" x14ac:dyDescent="0.2">
      <c r="A568" s="188"/>
      <c r="B568" s="178"/>
      <c r="C568" s="178"/>
      <c r="D568" s="187" t="s">
        <v>1258</v>
      </c>
      <c r="G568" s="182"/>
      <c r="H568" s="198"/>
      <c r="I568" s="187"/>
      <c r="J568" s="204">
        <v>2</v>
      </c>
      <c r="K568" s="182"/>
      <c r="L568" s="197" t="s">
        <v>1485</v>
      </c>
      <c r="M568" s="182"/>
      <c r="N568" s="182"/>
      <c r="O568" s="234" t="s">
        <v>1258</v>
      </c>
      <c r="P568" s="182"/>
      <c r="Q568" s="182"/>
      <c r="R568" s="182"/>
      <c r="S568" s="182"/>
    </row>
    <row r="569" spans="1:19" x14ac:dyDescent="0.2">
      <c r="A569" s="188"/>
      <c r="B569" s="178"/>
      <c r="C569" s="178"/>
      <c r="D569" s="187" t="s">
        <v>997</v>
      </c>
      <c r="G569" s="182"/>
      <c r="H569" s="198"/>
      <c r="I569" s="212"/>
      <c r="J569" s="207">
        <v>3</v>
      </c>
      <c r="K569" s="208"/>
      <c r="L569" s="209" t="s">
        <v>1486</v>
      </c>
      <c r="M569" s="208"/>
      <c r="N569" s="208"/>
      <c r="O569" s="252" t="s">
        <v>997</v>
      </c>
      <c r="P569" s="182"/>
      <c r="Q569" s="182"/>
      <c r="R569" s="182"/>
      <c r="S569" s="182"/>
    </row>
    <row r="570" spans="1:19" ht="15.75" thickBot="1" x14ac:dyDescent="0.25">
      <c r="A570" s="188"/>
      <c r="B570" s="178"/>
      <c r="C570" s="178"/>
      <c r="D570" s="187" t="s">
        <v>997</v>
      </c>
      <c r="G570" s="182"/>
      <c r="H570" s="198"/>
      <c r="I570" s="215" t="s">
        <v>1059</v>
      </c>
      <c r="J570" s="182"/>
      <c r="K570" s="197" t="s">
        <v>1487</v>
      </c>
      <c r="L570" s="182"/>
      <c r="M570" s="182"/>
      <c r="N570" s="182"/>
      <c r="O570" s="234" t="s">
        <v>997</v>
      </c>
      <c r="P570" s="182"/>
      <c r="Q570" s="182"/>
      <c r="R570" s="182"/>
      <c r="S570" s="182"/>
    </row>
    <row r="571" spans="1:19" ht="15.75" thickTop="1" x14ac:dyDescent="0.2">
      <c r="A571" s="188">
        <v>57</v>
      </c>
      <c r="B571" s="178" t="s">
        <v>1488</v>
      </c>
      <c r="C571" s="178" t="s">
        <v>1489</v>
      </c>
      <c r="D571" s="187"/>
      <c r="G571" s="182"/>
      <c r="H571" s="265">
        <v>57</v>
      </c>
      <c r="I571" s="221"/>
      <c r="J571" s="270"/>
      <c r="K571" s="271" t="s">
        <v>1489</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5</v>
      </c>
      <c r="G572" s="182"/>
      <c r="H572" s="224"/>
      <c r="I572" s="226" t="s">
        <v>1022</v>
      </c>
      <c r="J572" s="228"/>
      <c r="K572" s="259" t="s">
        <v>1490</v>
      </c>
      <c r="L572" s="259"/>
      <c r="M572" s="259"/>
      <c r="N572" s="259"/>
      <c r="O572" s="260" t="s">
        <v>5</v>
      </c>
      <c r="P572" s="182"/>
      <c r="Q572" s="182"/>
      <c r="R572" s="182"/>
      <c r="S572" s="182"/>
    </row>
    <row r="573" spans="1:19" ht="15.75" thickTop="1" x14ac:dyDescent="0.2">
      <c r="A573" s="188">
        <v>58</v>
      </c>
      <c r="B573" s="178" t="s">
        <v>1491</v>
      </c>
      <c r="C573" s="178" t="s">
        <v>1492</v>
      </c>
      <c r="D573" s="187"/>
      <c r="G573" s="182"/>
      <c r="H573" s="265">
        <v>58</v>
      </c>
      <c r="I573" s="221"/>
      <c r="J573" s="270"/>
      <c r="K573" s="271" t="s">
        <v>1492</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1216</v>
      </c>
      <c r="G574" s="182"/>
      <c r="H574" s="198"/>
      <c r="I574" s="301" t="s">
        <v>1022</v>
      </c>
      <c r="J574" s="182"/>
      <c r="K574" s="197" t="s">
        <v>1493</v>
      </c>
      <c r="L574" s="197"/>
      <c r="M574" s="197"/>
      <c r="N574" s="197"/>
      <c r="O574" s="234" t="s">
        <v>1216</v>
      </c>
      <c r="P574" s="182"/>
      <c r="Q574" s="182"/>
      <c r="R574" s="182"/>
      <c r="S574" s="182"/>
    </row>
    <row r="575" spans="1:19" x14ac:dyDescent="0.2">
      <c r="A575" s="188"/>
      <c r="B575" s="178"/>
      <c r="C575" s="178"/>
      <c r="D575" s="187" t="s">
        <v>1216</v>
      </c>
      <c r="G575" s="182"/>
      <c r="H575" s="198"/>
      <c r="I575" s="199" t="s">
        <v>1049</v>
      </c>
      <c r="J575" s="240"/>
      <c r="K575" s="257" t="s">
        <v>1492</v>
      </c>
      <c r="L575" s="257"/>
      <c r="M575" s="257"/>
      <c r="N575" s="257"/>
      <c r="O575" s="256" t="s">
        <v>1216</v>
      </c>
      <c r="P575" s="182"/>
      <c r="Q575" s="182"/>
      <c r="R575" s="182"/>
      <c r="S575" s="182"/>
    </row>
    <row r="576" spans="1:19" x14ac:dyDescent="0.2">
      <c r="A576" s="188"/>
      <c r="B576" s="178"/>
      <c r="C576" s="178"/>
      <c r="D576" s="187" t="s">
        <v>1216</v>
      </c>
      <c r="G576" s="182"/>
      <c r="H576" s="198"/>
      <c r="I576" s="207" t="s">
        <v>1059</v>
      </c>
      <c r="J576" s="208"/>
      <c r="K576" s="257" t="s">
        <v>1494</v>
      </c>
      <c r="L576" s="209"/>
      <c r="M576" s="209"/>
      <c r="N576" s="209"/>
      <c r="O576" s="252" t="s">
        <v>1216</v>
      </c>
      <c r="P576" s="182"/>
      <c r="Q576" s="182"/>
      <c r="R576" s="182"/>
      <c r="S576" s="182"/>
    </row>
    <row r="577" spans="1:19" x14ac:dyDescent="0.2">
      <c r="A577" s="188"/>
      <c r="B577" s="178"/>
      <c r="C577" s="178"/>
      <c r="D577" s="187" t="s">
        <v>1216</v>
      </c>
      <c r="G577" s="182"/>
      <c r="H577" s="198"/>
      <c r="I577" s="204" t="s">
        <v>1085</v>
      </c>
      <c r="J577" s="182"/>
      <c r="K577" s="211" t="s">
        <v>1136</v>
      </c>
      <c r="L577" s="197"/>
      <c r="M577" s="197"/>
      <c r="N577" s="197"/>
      <c r="O577" s="234" t="s">
        <v>1216</v>
      </c>
      <c r="P577" s="182"/>
      <c r="Q577" s="182"/>
      <c r="R577" s="182"/>
      <c r="S577" s="182"/>
    </row>
    <row r="578" spans="1:19" ht="15.75" thickBot="1" x14ac:dyDescent="0.25">
      <c r="A578" s="188">
        <v>59</v>
      </c>
      <c r="B578" s="178" t="s">
        <v>1495</v>
      </c>
      <c r="C578" s="178" t="s">
        <v>1496</v>
      </c>
      <c r="D578" s="187" t="s">
        <v>1133</v>
      </c>
      <c r="G578" s="182"/>
      <c r="H578" s="286">
        <v>59</v>
      </c>
      <c r="I578" s="287"/>
      <c r="J578" s="288"/>
      <c r="K578" s="310" t="s">
        <v>1496</v>
      </c>
      <c r="L578" s="288"/>
      <c r="M578" s="288"/>
      <c r="N578" s="288"/>
      <c r="O578" s="290" t="s">
        <v>1133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1497</v>
      </c>
      <c r="C579" s="178" t="s">
        <v>1498</v>
      </c>
      <c r="D579" s="187"/>
      <c r="G579" s="182"/>
      <c r="H579" s="220">
        <v>60</v>
      </c>
      <c r="I579" s="222"/>
      <c r="J579" s="232"/>
      <c r="K579" s="277" t="s">
        <v>1498</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1216</v>
      </c>
      <c r="G580" s="182"/>
      <c r="H580" s="198"/>
      <c r="I580" s="301" t="s">
        <v>1022</v>
      </c>
      <c r="J580" s="182"/>
      <c r="K580" s="197" t="s">
        <v>1499</v>
      </c>
      <c r="L580" s="182"/>
      <c r="M580" s="182"/>
      <c r="N580" s="182"/>
      <c r="O580" s="234" t="s">
        <v>1216</v>
      </c>
      <c r="P580" s="182"/>
      <c r="Q580" s="182"/>
      <c r="R580" s="182"/>
      <c r="S580" s="182"/>
    </row>
    <row r="581" spans="1:19" x14ac:dyDescent="0.2">
      <c r="A581" s="188"/>
      <c r="B581" s="178"/>
      <c r="C581" s="178"/>
      <c r="D581" s="187" t="s">
        <v>1216</v>
      </c>
      <c r="G581" s="182"/>
      <c r="H581" s="198"/>
      <c r="I581" s="199" t="s">
        <v>1049</v>
      </c>
      <c r="J581" s="240"/>
      <c r="K581" s="257" t="s">
        <v>1342</v>
      </c>
      <c r="L581" s="240"/>
      <c r="M581" s="240"/>
      <c r="N581" s="240"/>
      <c r="O581" s="256" t="s">
        <v>1216</v>
      </c>
      <c r="P581" s="182"/>
      <c r="Q581" s="182"/>
      <c r="R581" s="182"/>
      <c r="S581" s="182"/>
    </row>
    <row r="582" spans="1:19" ht="15.75" thickBot="1" x14ac:dyDescent="0.25">
      <c r="A582" s="188"/>
      <c r="B582" s="178"/>
      <c r="C582" s="178"/>
      <c r="D582" s="187" t="s">
        <v>1216</v>
      </c>
      <c r="G582" s="182"/>
      <c r="H582" s="198"/>
      <c r="I582" s="215" t="s">
        <v>1059</v>
      </c>
      <c r="J582" s="182"/>
      <c r="K582" s="197" t="s">
        <v>1461</v>
      </c>
      <c r="L582" s="182"/>
      <c r="M582" s="182"/>
      <c r="N582" s="182"/>
      <c r="O582" s="234" t="s">
        <v>1216</v>
      </c>
      <c r="P582" s="182"/>
      <c r="Q582" s="182"/>
      <c r="R582" s="182"/>
      <c r="S582" s="182"/>
    </row>
    <row r="583" spans="1:19" ht="16.5" thickTop="1" thickBot="1" x14ac:dyDescent="0.25">
      <c r="A583" s="188">
        <v>61</v>
      </c>
      <c r="B583" s="178" t="s">
        <v>1500</v>
      </c>
      <c r="C583" s="178" t="s">
        <v>1501</v>
      </c>
      <c r="D583" s="187" t="s">
        <v>1216</v>
      </c>
      <c r="G583" s="182"/>
      <c r="H583" s="291">
        <v>61</v>
      </c>
      <c r="I583" s="292"/>
      <c r="J583" s="293"/>
      <c r="K583" s="294" t="s">
        <v>1501</v>
      </c>
      <c r="L583" s="293"/>
      <c r="M583" s="293"/>
      <c r="N583" s="293"/>
      <c r="O583" s="295" t="s">
        <v>1216</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1502</v>
      </c>
      <c r="C584" s="178" t="s">
        <v>1503</v>
      </c>
      <c r="D584" s="187"/>
      <c r="G584" s="182"/>
      <c r="H584" s="220">
        <v>62</v>
      </c>
      <c r="I584" s="222"/>
      <c r="J584" s="232"/>
      <c r="K584" s="277" t="s">
        <v>1503</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1216</v>
      </c>
      <c r="G585" s="182"/>
      <c r="H585" s="198"/>
      <c r="I585" s="301" t="s">
        <v>1022</v>
      </c>
      <c r="J585" s="182"/>
      <c r="K585" s="197" t="s">
        <v>1504</v>
      </c>
      <c r="L585" s="182"/>
      <c r="M585" s="182"/>
      <c r="N585" s="182"/>
      <c r="O585" s="234" t="s">
        <v>1216</v>
      </c>
      <c r="P585" s="182"/>
      <c r="Q585" s="182"/>
      <c r="R585" s="182"/>
      <c r="S585" s="182"/>
    </row>
    <row r="586" spans="1:19" x14ac:dyDescent="0.2">
      <c r="A586" s="188"/>
      <c r="B586" s="178"/>
      <c r="C586" s="178"/>
      <c r="D586" s="187" t="s">
        <v>1216</v>
      </c>
      <c r="G586" s="182"/>
      <c r="H586" s="198"/>
      <c r="I586" s="199" t="s">
        <v>1049</v>
      </c>
      <c r="J586" s="240"/>
      <c r="K586" s="257" t="s">
        <v>1505</v>
      </c>
      <c r="L586" s="240"/>
      <c r="M586" s="240"/>
      <c r="N586" s="240"/>
      <c r="O586" s="256" t="s">
        <v>1216</v>
      </c>
      <c r="P586" s="182"/>
      <c r="Q586" s="182"/>
      <c r="R586" s="182"/>
      <c r="S586" s="182"/>
    </row>
    <row r="587" spans="1:19" ht="15.75" thickBot="1" x14ac:dyDescent="0.25">
      <c r="A587" s="188"/>
      <c r="B587" s="178"/>
      <c r="C587" s="178"/>
      <c r="D587" s="187" t="s">
        <v>1506</v>
      </c>
      <c r="G587" s="182"/>
      <c r="H587" s="198"/>
      <c r="I587" s="215" t="s">
        <v>1059</v>
      </c>
      <c r="J587" s="182"/>
      <c r="K587" s="197" t="s">
        <v>1507</v>
      </c>
      <c r="L587" s="182"/>
      <c r="M587" s="182"/>
      <c r="N587" s="182"/>
      <c r="O587" s="234" t="s">
        <v>1506</v>
      </c>
      <c r="P587" s="182"/>
      <c r="Q587" s="182"/>
      <c r="R587" s="182"/>
      <c r="S587" s="182"/>
    </row>
    <row r="588" spans="1:19" ht="15.75" thickTop="1" x14ac:dyDescent="0.2">
      <c r="A588" s="188">
        <v>63</v>
      </c>
      <c r="B588" s="178" t="s">
        <v>1508</v>
      </c>
      <c r="C588" s="178" t="s">
        <v>1509</v>
      </c>
      <c r="D588" s="187"/>
      <c r="G588" s="182"/>
      <c r="H588" s="265">
        <v>63</v>
      </c>
      <c r="I588" s="221"/>
      <c r="J588" s="270"/>
      <c r="K588" s="271" t="s">
        <v>1509</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1250</v>
      </c>
      <c r="G589" s="182"/>
      <c r="H589" s="198"/>
      <c r="I589" s="199" t="s">
        <v>1022</v>
      </c>
      <c r="J589" s="240"/>
      <c r="K589" s="311" t="s">
        <v>1510</v>
      </c>
      <c r="L589" s="312"/>
      <c r="M589" s="312"/>
      <c r="N589" s="240"/>
      <c r="O589" s="256" t="s">
        <v>1250</v>
      </c>
      <c r="P589" s="182"/>
      <c r="Q589" s="182"/>
      <c r="R589" s="182"/>
      <c r="S589" s="182"/>
    </row>
    <row r="590" spans="1:19" ht="15.75" thickBot="1" x14ac:dyDescent="0.25">
      <c r="A590" s="188"/>
      <c r="B590" s="178"/>
      <c r="C590" s="178"/>
      <c r="D590" s="187" t="s">
        <v>1250</v>
      </c>
      <c r="G590" s="182"/>
      <c r="H590" s="213"/>
      <c r="I590" s="215" t="s">
        <v>1049</v>
      </c>
      <c r="J590" s="216"/>
      <c r="K590" s="313" t="s">
        <v>1511</v>
      </c>
      <c r="L590" s="314"/>
      <c r="M590" s="314"/>
      <c r="N590" s="216"/>
      <c r="O590" s="278" t="s">
        <v>1250</v>
      </c>
      <c r="P590" s="182"/>
      <c r="Q590" s="182"/>
      <c r="R590" s="182"/>
      <c r="S590" s="182"/>
    </row>
    <row r="591" spans="1:19" ht="15.75" thickTop="1" x14ac:dyDescent="0.2">
      <c r="A591" s="188">
        <v>64</v>
      </c>
      <c r="B591" s="178" t="s">
        <v>1512</v>
      </c>
      <c r="C591" s="178" t="s">
        <v>1513</v>
      </c>
      <c r="D591" s="187"/>
      <c r="G591" s="182"/>
      <c r="H591" s="220">
        <v>64</v>
      </c>
      <c r="I591" s="222"/>
      <c r="J591" s="232"/>
      <c r="K591" s="277" t="s">
        <v>1513</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1258</v>
      </c>
      <c r="G592" s="182"/>
      <c r="H592" s="198"/>
      <c r="I592" s="225" t="s">
        <v>1022</v>
      </c>
      <c r="J592" s="182"/>
      <c r="K592" s="197" t="s">
        <v>1514</v>
      </c>
      <c r="L592" s="197"/>
      <c r="M592" s="197"/>
      <c r="N592" s="182"/>
      <c r="O592" s="234" t="s">
        <v>1258</v>
      </c>
      <c r="P592" s="182"/>
      <c r="Q592" s="182"/>
      <c r="R592" s="182"/>
      <c r="S592" s="182"/>
    </row>
    <row r="593" spans="1:19" ht="15.75" thickTop="1" x14ac:dyDescent="0.2">
      <c r="A593" s="188">
        <v>65</v>
      </c>
      <c r="B593" s="178" t="s">
        <v>1515</v>
      </c>
      <c r="C593" s="178" t="s">
        <v>1516</v>
      </c>
      <c r="D593" s="187"/>
      <c r="G593" s="182"/>
      <c r="H593" s="265">
        <v>65</v>
      </c>
      <c r="I593" s="221"/>
      <c r="J593" s="270"/>
      <c r="K593" s="271" t="s">
        <v>1516</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1133</v>
      </c>
      <c r="G594" s="182"/>
      <c r="H594" s="315"/>
      <c r="I594" s="301" t="s">
        <v>1022</v>
      </c>
      <c r="J594" s="182"/>
      <c r="K594" s="197" t="s">
        <v>1517</v>
      </c>
      <c r="L594" s="197"/>
      <c r="M594" s="197"/>
      <c r="N594" s="182"/>
      <c r="O594" s="234" t="s">
        <v>1133</v>
      </c>
      <c r="P594" s="182"/>
      <c r="Q594" s="182"/>
      <c r="R594" s="182"/>
      <c r="S594" s="182"/>
    </row>
    <row r="595" spans="1:19" x14ac:dyDescent="0.2">
      <c r="A595" s="188"/>
      <c r="B595" s="178"/>
      <c r="C595" s="178"/>
      <c r="D595" s="187" t="s">
        <v>1133</v>
      </c>
      <c r="G595" s="182"/>
      <c r="H595" s="315"/>
      <c r="I595" s="199" t="s">
        <v>1049</v>
      </c>
      <c r="J595" s="240"/>
      <c r="K595" s="257" t="s">
        <v>1132</v>
      </c>
      <c r="L595" s="257"/>
      <c r="M595" s="257"/>
      <c r="N595" s="240"/>
      <c r="O595" s="256" t="s">
        <v>1133</v>
      </c>
      <c r="P595" s="182"/>
      <c r="Q595" s="182"/>
      <c r="R595" s="182"/>
      <c r="S595" s="182"/>
    </row>
    <row r="596" spans="1:19" x14ac:dyDescent="0.2">
      <c r="A596" s="188"/>
      <c r="B596" s="178"/>
      <c r="C596" s="178"/>
      <c r="D596" s="187" t="s">
        <v>1026</v>
      </c>
      <c r="G596" s="182"/>
      <c r="H596" s="315"/>
      <c r="I596" s="199" t="s">
        <v>1059</v>
      </c>
      <c r="J596" s="240"/>
      <c r="K596" s="257" t="s">
        <v>1136</v>
      </c>
      <c r="L596" s="257"/>
      <c r="M596" s="257"/>
      <c r="N596" s="240"/>
      <c r="O596" s="256" t="s">
        <v>1026</v>
      </c>
      <c r="P596" s="182"/>
      <c r="Q596" s="182"/>
      <c r="R596" s="182"/>
      <c r="S596" s="182"/>
    </row>
    <row r="597" spans="1:19" x14ac:dyDescent="0.2">
      <c r="A597" s="188"/>
      <c r="B597" s="178"/>
      <c r="C597" s="178"/>
      <c r="D597" s="187"/>
      <c r="G597" s="182"/>
      <c r="H597" s="315"/>
      <c r="I597" s="199" t="s">
        <v>1085</v>
      </c>
      <c r="J597" s="202"/>
      <c r="K597" s="197" t="s">
        <v>1518</v>
      </c>
      <c r="L597" s="197"/>
      <c r="M597" s="197"/>
      <c r="N597" s="182"/>
      <c r="O597" s="234"/>
      <c r="P597" s="182"/>
      <c r="Q597" s="182"/>
      <c r="R597" s="182"/>
      <c r="S597" s="182"/>
    </row>
    <row r="598" spans="1:19" x14ac:dyDescent="0.2">
      <c r="A598" s="188"/>
      <c r="B598" s="178"/>
      <c r="C598" s="178"/>
      <c r="D598" s="187" t="s">
        <v>1216</v>
      </c>
      <c r="G598" s="182"/>
      <c r="H598" s="315"/>
      <c r="I598" s="187"/>
      <c r="J598" s="316">
        <v>1</v>
      </c>
      <c r="K598" s="197"/>
      <c r="L598" s="197" t="s">
        <v>1126</v>
      </c>
      <c r="M598" s="197"/>
      <c r="N598" s="182"/>
      <c r="O598" s="234" t="s">
        <v>1216</v>
      </c>
      <c r="P598" s="182"/>
      <c r="Q598" s="182"/>
      <c r="R598" s="182"/>
      <c r="S598" s="182"/>
    </row>
    <row r="599" spans="1:19" ht="15.75" thickBot="1" x14ac:dyDescent="0.25">
      <c r="A599" s="188"/>
      <c r="B599" s="178"/>
      <c r="C599" s="178"/>
      <c r="D599" s="187" t="s">
        <v>1519</v>
      </c>
      <c r="G599" s="182"/>
      <c r="H599" s="317"/>
      <c r="I599" s="214"/>
      <c r="J599" s="318">
        <v>2</v>
      </c>
      <c r="K599" s="217"/>
      <c r="L599" s="217" t="s">
        <v>1520</v>
      </c>
      <c r="M599" s="217"/>
      <c r="N599" s="216"/>
      <c r="O599" s="278" t="s">
        <v>1519</v>
      </c>
      <c r="P599" s="182"/>
      <c r="Q599" s="182"/>
      <c r="R599" s="182"/>
      <c r="S599" s="182"/>
    </row>
    <row r="600" spans="1:19" ht="15.75" thickTop="1" x14ac:dyDescent="0.2">
      <c r="A600" s="188">
        <v>66</v>
      </c>
      <c r="B600" s="178" t="s">
        <v>1521</v>
      </c>
      <c r="C600" s="178" t="s">
        <v>1522</v>
      </c>
      <c r="D600" s="187"/>
      <c r="G600" s="182"/>
      <c r="H600" s="220">
        <v>66</v>
      </c>
      <c r="I600" s="222"/>
      <c r="J600" s="232"/>
      <c r="K600" s="277" t="s">
        <v>1522</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1258</v>
      </c>
      <c r="G601" s="182"/>
      <c r="H601" s="198"/>
      <c r="I601" s="301" t="s">
        <v>1022</v>
      </c>
      <c r="J601" s="182"/>
      <c r="K601" s="197" t="s">
        <v>1523</v>
      </c>
      <c r="L601" s="182"/>
      <c r="M601" s="182"/>
      <c r="N601" s="182"/>
      <c r="O601" s="234" t="s">
        <v>1258</v>
      </c>
      <c r="P601" s="182"/>
      <c r="Q601" s="182"/>
      <c r="R601" s="182"/>
      <c r="S601" s="182"/>
    </row>
    <row r="602" spans="1:19" x14ac:dyDescent="0.2">
      <c r="A602" s="188"/>
      <c r="B602" s="178"/>
      <c r="C602" s="178"/>
      <c r="D602" s="187" t="s">
        <v>1258</v>
      </c>
      <c r="G602" s="182"/>
      <c r="H602" s="198"/>
      <c r="I602" s="199" t="s">
        <v>1049</v>
      </c>
      <c r="J602" s="240"/>
      <c r="K602" s="257" t="s">
        <v>1524</v>
      </c>
      <c r="L602" s="240"/>
      <c r="M602" s="240"/>
      <c r="N602" s="240"/>
      <c r="O602" s="256" t="s">
        <v>1258</v>
      </c>
      <c r="P602" s="182"/>
      <c r="Q602" s="182"/>
      <c r="R602" s="182"/>
      <c r="S602" s="182"/>
    </row>
    <row r="603" spans="1:19" x14ac:dyDescent="0.2">
      <c r="A603" s="188"/>
      <c r="B603" s="178"/>
      <c r="C603" s="178"/>
      <c r="D603" s="187" t="s">
        <v>1258</v>
      </c>
      <c r="G603" s="182"/>
      <c r="H603" s="198"/>
      <c r="I603" s="199" t="s">
        <v>1059</v>
      </c>
      <c r="J603" s="182"/>
      <c r="K603" s="257" t="s">
        <v>1136</v>
      </c>
      <c r="L603" s="240"/>
      <c r="M603" s="240"/>
      <c r="N603" s="240"/>
      <c r="O603" s="256" t="s">
        <v>1258</v>
      </c>
      <c r="P603" s="182"/>
      <c r="Q603" s="182"/>
      <c r="R603" s="182"/>
      <c r="S603" s="182"/>
    </row>
    <row r="604" spans="1:19" x14ac:dyDescent="0.2">
      <c r="A604" s="188"/>
      <c r="B604" s="178"/>
      <c r="C604" s="178"/>
      <c r="D604" s="187"/>
      <c r="G604" s="182"/>
      <c r="H604" s="198"/>
      <c r="I604" s="207" t="s">
        <v>1085</v>
      </c>
      <c r="J604" s="202"/>
      <c r="K604" s="197" t="s">
        <v>1518</v>
      </c>
      <c r="L604" s="197"/>
      <c r="M604" s="197"/>
      <c r="N604" s="182"/>
      <c r="O604" s="234"/>
      <c r="P604" s="182"/>
      <c r="Q604" s="182"/>
      <c r="R604" s="182"/>
      <c r="S604" s="182"/>
    </row>
    <row r="605" spans="1:19" ht="15.75" thickBot="1" x14ac:dyDescent="0.25">
      <c r="A605" s="188"/>
      <c r="B605" s="178"/>
      <c r="C605" s="178"/>
      <c r="D605" s="187" t="s">
        <v>997</v>
      </c>
      <c r="G605" s="182"/>
      <c r="H605" s="198"/>
      <c r="I605" s="187"/>
      <c r="J605" s="316">
        <v>1</v>
      </c>
      <c r="K605" s="197"/>
      <c r="L605" s="197" t="s">
        <v>1126</v>
      </c>
      <c r="M605" s="197"/>
      <c r="N605" s="182"/>
      <c r="O605" s="234" t="s">
        <v>997</v>
      </c>
      <c r="P605" s="182"/>
      <c r="Q605" s="182"/>
      <c r="R605" s="182"/>
      <c r="S605" s="182"/>
    </row>
    <row r="606" spans="1:19" ht="15.75" thickTop="1" x14ac:dyDescent="0.2">
      <c r="A606" s="188">
        <v>67</v>
      </c>
      <c r="B606" s="178" t="s">
        <v>1525</v>
      </c>
      <c r="C606" s="178" t="s">
        <v>1526</v>
      </c>
      <c r="D606" s="187"/>
      <c r="G606" s="182"/>
      <c r="H606" s="265">
        <v>67</v>
      </c>
      <c r="I606" s="221"/>
      <c r="J606" s="270"/>
      <c r="K606" s="271" t="s">
        <v>1526</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1258</v>
      </c>
      <c r="G607" s="182"/>
      <c r="H607" s="224"/>
      <c r="I607" s="225" t="s">
        <v>1022</v>
      </c>
      <c r="J607" s="228"/>
      <c r="K607" s="259" t="s">
        <v>1527</v>
      </c>
      <c r="L607" s="228"/>
      <c r="M607" s="228"/>
      <c r="N607" s="228"/>
      <c r="O607" s="260" t="s">
        <v>1258</v>
      </c>
      <c r="P607" s="182"/>
      <c r="Q607" s="182"/>
      <c r="R607" s="182"/>
      <c r="S607" s="182"/>
    </row>
    <row r="608" spans="1:19" ht="15.75" thickTop="1" x14ac:dyDescent="0.2">
      <c r="A608" s="188">
        <v>68</v>
      </c>
      <c r="B608" s="178" t="s">
        <v>1528</v>
      </c>
      <c r="C608" s="178" t="s">
        <v>1529</v>
      </c>
      <c r="D608" s="187"/>
      <c r="G608" s="182"/>
      <c r="H608" s="220">
        <v>68</v>
      </c>
      <c r="I608" s="222"/>
      <c r="J608" s="232"/>
      <c r="K608" s="277" t="s">
        <v>1529</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1258</v>
      </c>
      <c r="G609" s="182"/>
      <c r="H609" s="198"/>
      <c r="I609" s="301" t="s">
        <v>1022</v>
      </c>
      <c r="J609" s="182"/>
      <c r="K609" s="197" t="s">
        <v>1075</v>
      </c>
      <c r="L609" s="182"/>
      <c r="M609" s="182"/>
      <c r="N609" s="182"/>
      <c r="O609" s="234" t="s">
        <v>1258</v>
      </c>
      <c r="P609" s="182"/>
      <c r="Q609" s="182"/>
      <c r="R609" s="182"/>
      <c r="S609" s="182"/>
    </row>
    <row r="610" spans="1:19" x14ac:dyDescent="0.2">
      <c r="A610" s="188"/>
      <c r="B610" s="178"/>
      <c r="C610" s="178"/>
      <c r="D610" s="187" t="s">
        <v>1133</v>
      </c>
      <c r="G610" s="182"/>
      <c r="H610" s="198"/>
      <c r="I610" s="199" t="s">
        <v>1049</v>
      </c>
      <c r="J610" s="240"/>
      <c r="K610" s="257" t="s">
        <v>1530</v>
      </c>
      <c r="L610" s="240"/>
      <c r="M610" s="240"/>
      <c r="N610" s="240"/>
      <c r="O610" s="256" t="s">
        <v>1133</v>
      </c>
      <c r="P610" s="182"/>
      <c r="Q610" s="182"/>
      <c r="R610" s="182"/>
      <c r="S610" s="182"/>
    </row>
    <row r="611" spans="1:19" ht="15.75" thickBot="1" x14ac:dyDescent="0.25">
      <c r="A611" s="188"/>
      <c r="B611" s="178"/>
      <c r="C611" s="178"/>
      <c r="D611" s="187" t="s">
        <v>1258</v>
      </c>
      <c r="G611" s="182"/>
      <c r="H611" s="198"/>
      <c r="I611" s="215" t="s">
        <v>1059</v>
      </c>
      <c r="J611" s="182"/>
      <c r="K611" s="197" t="s">
        <v>1531</v>
      </c>
      <c r="L611" s="182"/>
      <c r="M611" s="182"/>
      <c r="N611" s="182"/>
      <c r="O611" s="234" t="s">
        <v>1258</v>
      </c>
      <c r="P611" s="182"/>
      <c r="Q611" s="182"/>
      <c r="R611" s="182"/>
      <c r="S611" s="182"/>
    </row>
    <row r="612" spans="1:19" ht="15.75" thickTop="1" x14ac:dyDescent="0.2">
      <c r="A612" s="188">
        <v>69</v>
      </c>
      <c r="B612" s="178" t="s">
        <v>1532</v>
      </c>
      <c r="C612" s="178" t="s">
        <v>1533</v>
      </c>
      <c r="D612" s="187"/>
      <c r="G612" s="182"/>
      <c r="H612" s="265">
        <v>69</v>
      </c>
      <c r="I612" s="221"/>
      <c r="J612" s="270"/>
      <c r="K612" s="271" t="s">
        <v>1533</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1133</v>
      </c>
      <c r="G613" s="182"/>
      <c r="H613" s="315"/>
      <c r="I613" s="207" t="s">
        <v>1022</v>
      </c>
      <c r="J613" s="240"/>
      <c r="K613" s="257" t="s">
        <v>1534</v>
      </c>
      <c r="L613" s="257"/>
      <c r="M613" s="257"/>
      <c r="N613" s="240"/>
      <c r="O613" s="256" t="s">
        <v>1133</v>
      </c>
      <c r="P613" s="182"/>
      <c r="Q613" s="182"/>
      <c r="R613" s="182"/>
      <c r="S613" s="182"/>
    </row>
    <row r="614" spans="1:19" x14ac:dyDescent="0.2">
      <c r="A614" s="188"/>
      <c r="B614" s="178"/>
      <c r="C614" s="178"/>
      <c r="D614" s="187"/>
      <c r="G614" s="182"/>
      <c r="H614" s="315"/>
      <c r="I614" s="199" t="s">
        <v>1049</v>
      </c>
      <c r="J614" s="187"/>
      <c r="K614" s="197" t="s">
        <v>1535</v>
      </c>
      <c r="L614" s="197"/>
      <c r="M614" s="197"/>
      <c r="N614" s="182"/>
      <c r="O614" s="234"/>
      <c r="P614" s="182"/>
      <c r="Q614" s="182"/>
      <c r="R614" s="182"/>
      <c r="S614" s="182"/>
    </row>
    <row r="615" spans="1:19" x14ac:dyDescent="0.2">
      <c r="A615" s="188"/>
      <c r="B615" s="178"/>
      <c r="C615" s="178"/>
      <c r="D615" s="187" t="s">
        <v>1133</v>
      </c>
      <c r="G615" s="182"/>
      <c r="H615" s="315"/>
      <c r="I615" s="187"/>
      <c r="J615" s="204">
        <v>1</v>
      </c>
      <c r="K615" s="197"/>
      <c r="L615" s="197" t="s">
        <v>1536</v>
      </c>
      <c r="M615" s="182"/>
      <c r="N615" s="182"/>
      <c r="O615" s="234" t="s">
        <v>1133</v>
      </c>
      <c r="P615" s="182"/>
      <c r="Q615" s="182"/>
      <c r="R615" s="182"/>
      <c r="S615" s="182"/>
    </row>
    <row r="616" spans="1:19" ht="15.75" thickBot="1" x14ac:dyDescent="0.25">
      <c r="A616" s="188"/>
      <c r="B616" s="178"/>
      <c r="C616" s="178"/>
      <c r="D616" s="187" t="s">
        <v>1133</v>
      </c>
      <c r="G616" s="182"/>
      <c r="H616" s="317"/>
      <c r="I616" s="214"/>
      <c r="J616" s="215">
        <v>2</v>
      </c>
      <c r="K616" s="217"/>
      <c r="L616" s="217" t="s">
        <v>1537</v>
      </c>
      <c r="M616" s="216"/>
      <c r="N616" s="216"/>
      <c r="O616" s="278" t="s">
        <v>1133</v>
      </c>
      <c r="P616" s="182"/>
      <c r="Q616" s="182"/>
      <c r="R616" s="182"/>
      <c r="S616" s="182"/>
    </row>
    <row r="617" spans="1:19" ht="16.5" thickTop="1" thickBot="1" x14ac:dyDescent="0.25">
      <c r="A617" s="188">
        <v>70</v>
      </c>
      <c r="B617" s="178" t="s">
        <v>1538</v>
      </c>
      <c r="C617" s="178" t="s">
        <v>1539</v>
      </c>
      <c r="D617" s="187" t="s">
        <v>1216</v>
      </c>
      <c r="G617" s="182"/>
      <c r="H617" s="220">
        <v>70</v>
      </c>
      <c r="I617" s="222"/>
      <c r="J617" s="232"/>
      <c r="K617" s="277" t="s">
        <v>1539</v>
      </c>
      <c r="L617" s="232"/>
      <c r="M617" s="232"/>
      <c r="N617" s="232"/>
      <c r="O617" s="242" t="s">
        <v>1216</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1540</v>
      </c>
      <c r="C618" s="178" t="s">
        <v>1541</v>
      </c>
      <c r="D618" s="187"/>
      <c r="G618" s="182"/>
      <c r="H618" s="265">
        <v>71</v>
      </c>
      <c r="I618" s="221"/>
      <c r="J618" s="270"/>
      <c r="K618" s="309" t="s">
        <v>1541</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1216</v>
      </c>
      <c r="G619" s="182"/>
      <c r="H619" s="198"/>
      <c r="I619" s="199" t="s">
        <v>1022</v>
      </c>
      <c r="J619" s="240"/>
      <c r="K619" s="257" t="s">
        <v>1322</v>
      </c>
      <c r="L619" s="257"/>
      <c r="M619" s="257"/>
      <c r="N619" s="240"/>
      <c r="O619" s="256" t="s">
        <v>1216</v>
      </c>
      <c r="P619" s="182"/>
      <c r="Q619" s="182"/>
      <c r="R619" s="182"/>
      <c r="S619" s="182"/>
    </row>
    <row r="620" spans="1:19" ht="15.75" thickBot="1" x14ac:dyDescent="0.25">
      <c r="A620" s="188"/>
      <c r="B620" s="178"/>
      <c r="C620" s="178"/>
      <c r="D620" s="187" t="s">
        <v>998</v>
      </c>
      <c r="G620" s="182"/>
      <c r="H620" s="198"/>
      <c r="I620" s="215" t="s">
        <v>1049</v>
      </c>
      <c r="J620" s="182"/>
      <c r="K620" s="217" t="s">
        <v>1324</v>
      </c>
      <c r="L620" s="197"/>
      <c r="M620" s="197"/>
      <c r="N620" s="182"/>
      <c r="O620" s="234" t="s">
        <v>998</v>
      </c>
      <c r="P620" s="182"/>
      <c r="Q620" s="182"/>
      <c r="R620" s="182"/>
      <c r="S620" s="182"/>
    </row>
    <row r="621" spans="1:19" ht="16.5" thickTop="1" thickBot="1" x14ac:dyDescent="0.25">
      <c r="A621" s="188">
        <v>72</v>
      </c>
      <c r="B621" s="178" t="s">
        <v>1542</v>
      </c>
      <c r="C621" s="178" t="s">
        <v>1543</v>
      </c>
      <c r="D621" s="187" t="s">
        <v>5</v>
      </c>
      <c r="G621" s="182"/>
      <c r="H621" s="272">
        <v>72</v>
      </c>
      <c r="I621" s="273"/>
      <c r="J621" s="274"/>
      <c r="K621" s="275" t="s">
        <v>1543</v>
      </c>
      <c r="L621" s="274"/>
      <c r="M621" s="274"/>
      <c r="N621" s="274"/>
      <c r="O621" s="276" t="s">
        <v>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1544</v>
      </c>
      <c r="L624" s="232"/>
      <c r="M624" s="232"/>
      <c r="N624" s="232"/>
      <c r="O624" s="242"/>
      <c r="P624" s="182"/>
      <c r="Q624" s="182"/>
      <c r="R624" s="182"/>
      <c r="S624" s="182"/>
    </row>
    <row r="625" spans="1:19" x14ac:dyDescent="0.2">
      <c r="A625" s="188"/>
      <c r="B625" s="178"/>
      <c r="C625" s="178"/>
      <c r="D625" s="187"/>
      <c r="G625" s="182"/>
      <c r="H625" s="315"/>
      <c r="I625" s="199" t="s">
        <v>1022</v>
      </c>
      <c r="J625" s="202"/>
      <c r="K625" s="197" t="s">
        <v>1499</v>
      </c>
      <c r="L625" s="197"/>
      <c r="M625" s="197"/>
      <c r="N625" s="182"/>
      <c r="O625" s="234"/>
      <c r="P625" s="182"/>
      <c r="Q625" s="182"/>
      <c r="R625" s="182"/>
      <c r="S625" s="182"/>
    </row>
    <row r="626" spans="1:19" x14ac:dyDescent="0.2">
      <c r="A626" s="188"/>
      <c r="B626" s="178"/>
      <c r="C626" s="178"/>
      <c r="D626" s="187" t="s">
        <v>1216</v>
      </c>
      <c r="G626" s="182"/>
      <c r="H626" s="315"/>
      <c r="I626" s="187"/>
      <c r="J626" s="204">
        <v>1</v>
      </c>
      <c r="K626" s="197"/>
      <c r="L626" s="197" t="s">
        <v>1327</v>
      </c>
      <c r="M626" s="197"/>
      <c r="N626" s="182"/>
      <c r="O626" s="234" t="s">
        <v>1216</v>
      </c>
      <c r="P626" s="182"/>
      <c r="Q626" s="182"/>
      <c r="R626" s="182"/>
      <c r="S626" s="182"/>
    </row>
    <row r="627" spans="1:19" x14ac:dyDescent="0.2">
      <c r="A627" s="188"/>
      <c r="B627" s="178"/>
      <c r="C627" s="178"/>
      <c r="D627" s="187" t="s">
        <v>1216</v>
      </c>
      <c r="G627" s="182"/>
      <c r="H627" s="315"/>
      <c r="I627" s="187"/>
      <c r="J627" s="204">
        <v>2</v>
      </c>
      <c r="K627" s="197"/>
      <c r="L627" s="197" t="s">
        <v>1545</v>
      </c>
      <c r="M627" s="182"/>
      <c r="N627" s="182"/>
      <c r="O627" s="234" t="s">
        <v>1216</v>
      </c>
      <c r="P627" s="182"/>
      <c r="Q627" s="182"/>
      <c r="R627" s="182"/>
      <c r="S627" s="182"/>
    </row>
    <row r="628" spans="1:19" x14ac:dyDescent="0.2">
      <c r="A628" s="188"/>
      <c r="B628" s="178"/>
      <c r="C628" s="178"/>
      <c r="D628" s="187" t="s">
        <v>1216</v>
      </c>
      <c r="G628" s="182"/>
      <c r="H628" s="315"/>
      <c r="I628" s="187"/>
      <c r="J628" s="204">
        <v>3</v>
      </c>
      <c r="K628" s="197"/>
      <c r="L628" s="197" t="s">
        <v>1546</v>
      </c>
      <c r="M628" s="182"/>
      <c r="N628" s="182"/>
      <c r="O628" s="234" t="s">
        <v>1216</v>
      </c>
      <c r="P628" s="182"/>
      <c r="Q628" s="182"/>
      <c r="R628" s="182"/>
      <c r="S628" s="182"/>
    </row>
    <row r="629" spans="1:19" x14ac:dyDescent="0.2">
      <c r="A629" s="188"/>
      <c r="B629" s="178"/>
      <c r="C629" s="178"/>
      <c r="D629" s="187" t="s">
        <v>1216</v>
      </c>
      <c r="G629" s="182"/>
      <c r="H629" s="315"/>
      <c r="I629" s="187"/>
      <c r="J629" s="204">
        <v>4</v>
      </c>
      <c r="K629" s="197"/>
      <c r="L629" s="197" t="s">
        <v>1547</v>
      </c>
      <c r="M629" s="182"/>
      <c r="N629" s="182"/>
      <c r="O629" s="234" t="s">
        <v>1216</v>
      </c>
      <c r="P629" s="182"/>
      <c r="Q629" s="182"/>
      <c r="R629" s="182"/>
      <c r="S629" s="182"/>
    </row>
    <row r="630" spans="1:19" x14ac:dyDescent="0.2">
      <c r="A630" s="188"/>
      <c r="B630" s="178"/>
      <c r="C630" s="178"/>
      <c r="D630" s="187" t="s">
        <v>1216</v>
      </c>
      <c r="G630" s="182"/>
      <c r="H630" s="315"/>
      <c r="I630" s="187"/>
      <c r="J630" s="204">
        <v>5</v>
      </c>
      <c r="K630" s="197"/>
      <c r="L630" s="197" t="s">
        <v>1548</v>
      </c>
      <c r="M630" s="182"/>
      <c r="N630" s="182"/>
      <c r="O630" s="234" t="s">
        <v>1216</v>
      </c>
      <c r="P630" s="182"/>
      <c r="Q630" s="182"/>
      <c r="R630" s="182"/>
      <c r="S630" s="182"/>
    </row>
    <row r="631" spans="1:19" x14ac:dyDescent="0.2">
      <c r="A631" s="188"/>
      <c r="B631" s="178"/>
      <c r="C631" s="178"/>
      <c r="D631" s="187" t="s">
        <v>1216</v>
      </c>
      <c r="G631" s="182"/>
      <c r="H631" s="315"/>
      <c r="I631" s="199" t="s">
        <v>1049</v>
      </c>
      <c r="J631" s="240"/>
      <c r="K631" s="257" t="s">
        <v>1321</v>
      </c>
      <c r="L631" s="240"/>
      <c r="M631" s="240"/>
      <c r="N631" s="240"/>
      <c r="O631" s="256" t="s">
        <v>1216</v>
      </c>
      <c r="P631" s="182"/>
      <c r="Q631" s="197"/>
      <c r="R631" s="182"/>
      <c r="S631" s="182"/>
    </row>
    <row r="632" spans="1:19" x14ac:dyDescent="0.2">
      <c r="A632" s="188"/>
      <c r="B632" s="178"/>
      <c r="C632" s="178"/>
      <c r="D632" s="187"/>
      <c r="G632" s="182"/>
      <c r="H632" s="315"/>
      <c r="I632" s="199" t="s">
        <v>1059</v>
      </c>
      <c r="J632" s="187"/>
      <c r="K632" s="197" t="s">
        <v>1342</v>
      </c>
      <c r="L632" s="197"/>
      <c r="M632" s="182"/>
      <c r="N632" s="182"/>
      <c r="O632" s="234"/>
      <c r="P632" s="182"/>
      <c r="Q632" s="182"/>
      <c r="R632" s="182"/>
      <c r="S632" s="182"/>
    </row>
    <row r="633" spans="1:19" x14ac:dyDescent="0.2">
      <c r="A633" s="188"/>
      <c r="B633" s="178"/>
      <c r="C633" s="178"/>
      <c r="D633" s="187" t="s">
        <v>1216</v>
      </c>
      <c r="G633" s="182"/>
      <c r="H633" s="315"/>
      <c r="I633" s="187"/>
      <c r="J633" s="204">
        <v>1</v>
      </c>
      <c r="K633" s="197"/>
      <c r="L633" s="197" t="s">
        <v>1327</v>
      </c>
      <c r="M633" s="182"/>
      <c r="N633" s="182"/>
      <c r="O633" s="234" t="s">
        <v>1216</v>
      </c>
      <c r="P633" s="182"/>
      <c r="Q633" s="182"/>
      <c r="R633" s="182"/>
      <c r="S633" s="182"/>
    </row>
    <row r="634" spans="1:19" x14ac:dyDescent="0.2">
      <c r="A634" s="188"/>
      <c r="B634" s="178"/>
      <c r="C634" s="178"/>
      <c r="D634" s="187" t="s">
        <v>1216</v>
      </c>
      <c r="G634" s="182"/>
      <c r="H634" s="315"/>
      <c r="I634" s="187"/>
      <c r="J634" s="204">
        <v>2</v>
      </c>
      <c r="K634" s="197"/>
      <c r="L634" s="197" t="s">
        <v>1545</v>
      </c>
      <c r="M634" s="182"/>
      <c r="N634" s="182"/>
      <c r="O634" s="234" t="s">
        <v>1216</v>
      </c>
      <c r="P634" s="182"/>
      <c r="Q634" s="182"/>
      <c r="R634" s="182"/>
      <c r="S634" s="182"/>
    </row>
    <row r="635" spans="1:19" x14ac:dyDescent="0.2">
      <c r="A635" s="188"/>
      <c r="B635" s="178"/>
      <c r="C635" s="178"/>
      <c r="D635" s="187" t="s">
        <v>1216</v>
      </c>
      <c r="G635" s="182"/>
      <c r="H635" s="315"/>
      <c r="I635" s="187"/>
      <c r="J635" s="204">
        <v>3</v>
      </c>
      <c r="K635" s="197"/>
      <c r="L635" s="197" t="s">
        <v>1546</v>
      </c>
      <c r="M635" s="182"/>
      <c r="N635" s="182"/>
      <c r="O635" s="234" t="s">
        <v>1216</v>
      </c>
      <c r="P635" s="182"/>
      <c r="Q635" s="182"/>
      <c r="R635" s="182"/>
      <c r="S635" s="182"/>
    </row>
    <row r="636" spans="1:19" x14ac:dyDescent="0.2">
      <c r="A636" s="188"/>
      <c r="B636" s="178"/>
      <c r="C636" s="178"/>
      <c r="D636" s="187" t="s">
        <v>1216</v>
      </c>
      <c r="G636" s="182"/>
      <c r="H636" s="315"/>
      <c r="I636" s="187"/>
      <c r="J636" s="204">
        <v>4</v>
      </c>
      <c r="K636" s="197"/>
      <c r="L636" s="197" t="s">
        <v>1547</v>
      </c>
      <c r="M636" s="182"/>
      <c r="N636" s="182"/>
      <c r="O636" s="234" t="s">
        <v>1216</v>
      </c>
      <c r="P636" s="182"/>
      <c r="Q636" s="182"/>
      <c r="R636" s="182"/>
      <c r="S636" s="182"/>
    </row>
    <row r="637" spans="1:19" x14ac:dyDescent="0.2">
      <c r="A637" s="188"/>
      <c r="B637" s="178"/>
      <c r="C637" s="178"/>
      <c r="D637" s="187" t="s">
        <v>1216</v>
      </c>
      <c r="G637" s="182"/>
      <c r="H637" s="315"/>
      <c r="I637" s="251"/>
      <c r="J637" s="207">
        <v>5</v>
      </c>
      <c r="K637" s="209"/>
      <c r="L637" s="209" t="s">
        <v>1548</v>
      </c>
      <c r="M637" s="208"/>
      <c r="N637" s="208"/>
      <c r="O637" s="252" t="s">
        <v>1216</v>
      </c>
      <c r="P637" s="182"/>
      <c r="Q637" s="182"/>
      <c r="R637" s="182"/>
      <c r="S637" s="182"/>
    </row>
    <row r="638" spans="1:19" ht="15.75" thickBot="1" x14ac:dyDescent="0.25">
      <c r="A638" s="188"/>
      <c r="B638" s="178"/>
      <c r="C638" s="178"/>
      <c r="D638" s="187" t="s">
        <v>1216</v>
      </c>
      <c r="G638" s="182"/>
      <c r="H638" s="315"/>
      <c r="I638" s="215" t="s">
        <v>1085</v>
      </c>
      <c r="J638" s="187"/>
      <c r="K638" s="197" t="s">
        <v>1324</v>
      </c>
      <c r="L638" s="197"/>
      <c r="M638" s="182"/>
      <c r="N638" s="182"/>
      <c r="O638" s="234" t="s">
        <v>1216</v>
      </c>
      <c r="P638" s="182"/>
      <c r="Q638" s="182"/>
      <c r="R638" s="182"/>
      <c r="S638" s="182"/>
    </row>
    <row r="639" spans="1:19" ht="15.75" thickTop="1" x14ac:dyDescent="0.2">
      <c r="A639" s="188">
        <v>74</v>
      </c>
      <c r="B639" s="178" t="s">
        <v>1549</v>
      </c>
      <c r="C639" s="178" t="s">
        <v>1550</v>
      </c>
      <c r="D639" s="187"/>
      <c r="G639" s="182"/>
      <c r="H639" s="265">
        <v>74</v>
      </c>
      <c r="I639" s="221"/>
      <c r="J639" s="270"/>
      <c r="K639" s="271" t="s">
        <v>1550</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1216</v>
      </c>
      <c r="G640" s="182"/>
      <c r="H640" s="198"/>
      <c r="I640" s="199" t="s">
        <v>1022</v>
      </c>
      <c r="J640" s="240"/>
      <c r="K640" s="257" t="s">
        <v>1551</v>
      </c>
      <c r="L640" s="240"/>
      <c r="M640" s="240"/>
      <c r="N640" s="240"/>
      <c r="O640" s="256" t="s">
        <v>1216</v>
      </c>
      <c r="P640" s="182"/>
      <c r="Q640" s="182"/>
      <c r="R640" s="182"/>
      <c r="S640" s="182"/>
    </row>
    <row r="641" spans="1:19" ht="15.75" thickBot="1" x14ac:dyDescent="0.25">
      <c r="A641" s="188"/>
      <c r="B641" s="178"/>
      <c r="C641" s="178"/>
      <c r="D641" s="187" t="s">
        <v>1216</v>
      </c>
      <c r="G641" s="182"/>
      <c r="H641" s="213"/>
      <c r="I641" s="215" t="s">
        <v>1049</v>
      </c>
      <c r="J641" s="216"/>
      <c r="K641" s="217" t="s">
        <v>1552</v>
      </c>
      <c r="L641" s="216"/>
      <c r="M641" s="216"/>
      <c r="N641" s="216"/>
      <c r="O641" s="278" t="s">
        <v>1216</v>
      </c>
      <c r="P641" s="182"/>
      <c r="Q641" s="182"/>
      <c r="R641" s="182"/>
      <c r="S641" s="182"/>
    </row>
    <row r="642" spans="1:19" ht="15.75" thickTop="1" x14ac:dyDescent="0.2">
      <c r="A642" s="188">
        <v>75</v>
      </c>
      <c r="B642" s="178" t="s">
        <v>1553</v>
      </c>
      <c r="C642" s="178" t="s">
        <v>1554</v>
      </c>
      <c r="D642" s="187"/>
      <c r="G642" s="182"/>
      <c r="H642" s="220">
        <v>75</v>
      </c>
      <c r="I642" s="222"/>
      <c r="J642" s="232"/>
      <c r="K642" s="277" t="s">
        <v>1554</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1258</v>
      </c>
      <c r="G643" s="182"/>
      <c r="H643" s="198"/>
      <c r="I643" s="199" t="s">
        <v>1022</v>
      </c>
      <c r="J643" s="240"/>
      <c r="K643" s="257" t="s">
        <v>1555</v>
      </c>
      <c r="L643" s="240"/>
      <c r="M643" s="240"/>
      <c r="N643" s="240"/>
      <c r="O643" s="256" t="s">
        <v>1258</v>
      </c>
      <c r="P643" s="182"/>
      <c r="Q643" s="182"/>
      <c r="R643" s="182"/>
      <c r="S643" s="182"/>
    </row>
    <row r="644" spans="1:19" ht="15.75" thickBot="1" x14ac:dyDescent="0.25">
      <c r="A644" s="188"/>
      <c r="B644" s="178"/>
      <c r="C644" s="178"/>
      <c r="D644" s="187" t="s">
        <v>1258</v>
      </c>
      <c r="G644" s="182"/>
      <c r="H644" s="198"/>
      <c r="I644" s="215" t="s">
        <v>1049</v>
      </c>
      <c r="J644" s="182"/>
      <c r="K644" s="197" t="s">
        <v>1254</v>
      </c>
      <c r="L644" s="182"/>
      <c r="M644" s="182"/>
      <c r="N644" s="182"/>
      <c r="O644" s="234" t="s">
        <v>1258</v>
      </c>
      <c r="P644" s="182"/>
      <c r="Q644" s="182"/>
      <c r="R644" s="182"/>
      <c r="S644" s="182"/>
    </row>
    <row r="645" spans="1:19" ht="16.5" thickTop="1" thickBot="1" x14ac:dyDescent="0.25">
      <c r="A645" s="188">
        <v>76</v>
      </c>
      <c r="B645" s="178" t="s">
        <v>1556</v>
      </c>
      <c r="C645" s="178" t="s">
        <v>1557</v>
      </c>
      <c r="D645" s="187" t="s">
        <v>714</v>
      </c>
      <c r="G645" s="182"/>
      <c r="H645" s="265">
        <v>76</v>
      </c>
      <c r="I645" s="221"/>
      <c r="J645" s="270"/>
      <c r="K645" s="271" t="s">
        <v>1557</v>
      </c>
      <c r="L645" s="270"/>
      <c r="M645" s="270"/>
      <c r="N645" s="270"/>
      <c r="O645" s="223" t="s">
        <v>714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1558</v>
      </c>
      <c r="C646" s="178" t="s">
        <v>1559</v>
      </c>
      <c r="D646" s="187"/>
      <c r="G646" s="182"/>
      <c r="H646" s="265">
        <v>77</v>
      </c>
      <c r="I646" s="221"/>
      <c r="J646" s="270"/>
      <c r="K646" s="271" t="s">
        <v>1559</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5</v>
      </c>
      <c r="G647" s="182"/>
      <c r="H647" s="198"/>
      <c r="I647" s="225" t="s">
        <v>1022</v>
      </c>
      <c r="J647" s="182"/>
      <c r="K647" s="197" t="s">
        <v>1560</v>
      </c>
      <c r="L647" s="182"/>
      <c r="M647" s="182"/>
      <c r="N647" s="182"/>
      <c r="O647" s="234" t="s">
        <v>5</v>
      </c>
      <c r="P647" s="182"/>
      <c r="Q647" s="182"/>
      <c r="R647" s="182"/>
      <c r="S647" s="182"/>
    </row>
    <row r="648" spans="1:19" ht="15.75" thickTop="1" x14ac:dyDescent="0.2">
      <c r="A648" s="188">
        <v>78</v>
      </c>
      <c r="B648" s="178" t="s">
        <v>1561</v>
      </c>
      <c r="C648" s="178" t="s">
        <v>1562</v>
      </c>
      <c r="D648" s="187"/>
      <c r="G648" s="182"/>
      <c r="H648" s="265">
        <v>78</v>
      </c>
      <c r="I648" s="221"/>
      <c r="J648" s="270"/>
      <c r="K648" s="271" t="s">
        <v>1562</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1133</v>
      </c>
      <c r="G649" s="182"/>
      <c r="H649" s="198"/>
      <c r="I649" s="301" t="s">
        <v>1022</v>
      </c>
      <c r="J649" s="182"/>
      <c r="K649" s="197" t="s">
        <v>1281</v>
      </c>
      <c r="L649" s="182"/>
      <c r="M649" s="182"/>
      <c r="N649" s="182"/>
      <c r="O649" s="234" t="s">
        <v>1133</v>
      </c>
      <c r="P649" s="182"/>
      <c r="Q649" s="182"/>
      <c r="R649" s="182"/>
      <c r="S649" s="182"/>
    </row>
    <row r="650" spans="1:19" x14ac:dyDescent="0.2">
      <c r="A650" s="188"/>
      <c r="B650" s="178"/>
      <c r="C650" s="178"/>
      <c r="D650" s="187" t="s">
        <v>1133</v>
      </c>
      <c r="G650" s="182"/>
      <c r="H650" s="198"/>
      <c r="I650" s="199" t="s">
        <v>1049</v>
      </c>
      <c r="J650" s="302"/>
      <c r="K650" s="257" t="s">
        <v>1391</v>
      </c>
      <c r="L650" s="257"/>
      <c r="M650" s="240"/>
      <c r="N650" s="240"/>
      <c r="O650" s="256" t="s">
        <v>1133</v>
      </c>
      <c r="P650" s="182"/>
      <c r="Q650" s="182"/>
      <c r="R650" s="182"/>
      <c r="S650" s="182"/>
    </row>
    <row r="651" spans="1:19" x14ac:dyDescent="0.2">
      <c r="A651" s="188"/>
      <c r="B651" s="178"/>
      <c r="C651" s="178"/>
      <c r="D651" s="187"/>
      <c r="G651" s="182"/>
      <c r="H651" s="198"/>
      <c r="I651" s="207" t="s">
        <v>1059</v>
      </c>
      <c r="J651" s="187"/>
      <c r="K651" s="197" t="s">
        <v>1278</v>
      </c>
      <c r="L651" s="197"/>
      <c r="M651" s="182"/>
      <c r="N651" s="182"/>
      <c r="O651" s="234"/>
      <c r="P651" s="182"/>
      <c r="Q651" s="182"/>
      <c r="R651" s="182"/>
      <c r="S651" s="182"/>
    </row>
    <row r="652" spans="1:19" x14ac:dyDescent="0.2">
      <c r="A652" s="188"/>
      <c r="B652" s="178"/>
      <c r="C652" s="178"/>
      <c r="D652" s="187" t="s">
        <v>1133</v>
      </c>
      <c r="G652" s="182"/>
      <c r="H652" s="198"/>
      <c r="I652" s="187"/>
      <c r="J652" s="204">
        <v>1</v>
      </c>
      <c r="K652" s="197"/>
      <c r="L652" s="197" t="s">
        <v>1563</v>
      </c>
      <c r="M652" s="182"/>
      <c r="N652" s="182"/>
      <c r="O652" s="234" t="s">
        <v>1133</v>
      </c>
      <c r="P652" s="182"/>
      <c r="Q652" s="182"/>
      <c r="R652" s="182"/>
      <c r="S652" s="182"/>
    </row>
    <row r="653" spans="1:19" x14ac:dyDescent="0.2">
      <c r="A653" s="188"/>
      <c r="B653" s="178"/>
      <c r="C653" s="178"/>
      <c r="D653" s="187" t="s">
        <v>1133</v>
      </c>
      <c r="G653" s="182"/>
      <c r="H653" s="198"/>
      <c r="I653" s="187"/>
      <c r="J653" s="204">
        <v>2</v>
      </c>
      <c r="K653" s="197"/>
      <c r="L653" s="197" t="s">
        <v>1564</v>
      </c>
      <c r="M653" s="182"/>
      <c r="N653" s="182"/>
      <c r="O653" s="234" t="s">
        <v>1133</v>
      </c>
      <c r="P653" s="182"/>
      <c r="Q653" s="182"/>
      <c r="R653" s="182"/>
      <c r="S653" s="182"/>
    </row>
    <row r="654" spans="1:19" x14ac:dyDescent="0.2">
      <c r="A654" s="188"/>
      <c r="B654" s="178"/>
      <c r="C654" s="178"/>
      <c r="D654" s="187" t="s">
        <v>1133</v>
      </c>
      <c r="G654" s="182"/>
      <c r="H654" s="198"/>
      <c r="I654" s="187"/>
      <c r="J654" s="207">
        <v>3</v>
      </c>
      <c r="K654" s="182"/>
      <c r="L654" s="197" t="s">
        <v>1278</v>
      </c>
      <c r="M654" s="182"/>
      <c r="N654" s="182"/>
      <c r="O654" s="234" t="s">
        <v>1133</v>
      </c>
      <c r="P654" s="182"/>
      <c r="Q654" s="182"/>
      <c r="R654" s="182"/>
      <c r="S654" s="182"/>
    </row>
    <row r="655" spans="1:19" x14ac:dyDescent="0.2">
      <c r="A655" s="188"/>
      <c r="B655" s="178"/>
      <c r="C655" s="178"/>
      <c r="D655" s="187" t="s">
        <v>1133</v>
      </c>
      <c r="G655" s="182"/>
      <c r="H655" s="198"/>
      <c r="I655" s="199" t="s">
        <v>1085</v>
      </c>
      <c r="J655" s="302"/>
      <c r="K655" s="257" t="s">
        <v>1217</v>
      </c>
      <c r="L655" s="257"/>
      <c r="M655" s="240"/>
      <c r="N655" s="240"/>
      <c r="O655" s="256" t="s">
        <v>1133</v>
      </c>
      <c r="P655" s="182"/>
      <c r="Q655" s="182"/>
      <c r="R655" s="182"/>
      <c r="S655" s="182"/>
    </row>
    <row r="656" spans="1:19" x14ac:dyDescent="0.2">
      <c r="A656" s="188"/>
      <c r="B656" s="178"/>
      <c r="C656" s="178"/>
      <c r="D656" s="187" t="s">
        <v>1133</v>
      </c>
      <c r="G656" s="182"/>
      <c r="H656" s="198"/>
      <c r="I656" s="204" t="s">
        <v>1127</v>
      </c>
      <c r="J656" s="187"/>
      <c r="K656" s="197" t="s">
        <v>1220</v>
      </c>
      <c r="L656" s="197"/>
      <c r="M656" s="182"/>
      <c r="N656" s="182"/>
      <c r="O656" s="234" t="s">
        <v>1133</v>
      </c>
      <c r="P656" s="182"/>
      <c r="Q656" s="182"/>
      <c r="R656" s="182"/>
      <c r="S656" s="182"/>
    </row>
    <row r="657" spans="1:19" x14ac:dyDescent="0.2">
      <c r="A657" s="188"/>
      <c r="B657" s="178"/>
      <c r="C657" s="178"/>
      <c r="D657" s="187" t="s">
        <v>1133</v>
      </c>
      <c r="G657" s="182"/>
      <c r="H657" s="198"/>
      <c r="I657" s="199" t="s">
        <v>1130</v>
      </c>
      <c r="J657" s="302"/>
      <c r="K657" s="257" t="s">
        <v>1282</v>
      </c>
      <c r="L657" s="257"/>
      <c r="M657" s="240"/>
      <c r="N657" s="240"/>
      <c r="O657" s="256" t="s">
        <v>1133</v>
      </c>
      <c r="P657" s="182"/>
      <c r="Q657" s="182"/>
      <c r="R657" s="182"/>
      <c r="S657" s="182"/>
    </row>
    <row r="658" spans="1:19" ht="15.75" thickBot="1" x14ac:dyDescent="0.25">
      <c r="A658" s="188"/>
      <c r="B658" s="178"/>
      <c r="C658" s="178"/>
      <c r="D658" s="187" t="s">
        <v>1133</v>
      </c>
      <c r="G658" s="182"/>
      <c r="H658" s="213"/>
      <c r="I658" s="215" t="s">
        <v>1134</v>
      </c>
      <c r="J658" s="214"/>
      <c r="K658" s="217" t="s">
        <v>1223</v>
      </c>
      <c r="L658" s="217"/>
      <c r="M658" s="216"/>
      <c r="N658" s="216"/>
      <c r="O658" s="278" t="s">
        <v>1133</v>
      </c>
      <c r="P658" s="182"/>
      <c r="Q658" s="182"/>
      <c r="R658" s="182"/>
      <c r="S658" s="182"/>
    </row>
    <row r="659" spans="1:19" ht="15.75" thickTop="1" x14ac:dyDescent="0.2">
      <c r="A659" s="188">
        <v>79</v>
      </c>
      <c r="B659" s="178" t="s">
        <v>1565</v>
      </c>
      <c r="C659" s="178" t="s">
        <v>1388</v>
      </c>
      <c r="D659" s="187"/>
      <c r="G659" s="182"/>
      <c r="H659" s="220">
        <v>79</v>
      </c>
      <c r="I659" s="222"/>
      <c r="J659" s="232"/>
      <c r="K659" s="268" t="s">
        <v>1388</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1133</v>
      </c>
      <c r="G660" s="182"/>
      <c r="H660" s="198"/>
      <c r="I660" s="301" t="s">
        <v>1022</v>
      </c>
      <c r="J660" s="182"/>
      <c r="K660" s="257" t="s">
        <v>1566</v>
      </c>
      <c r="L660" s="197"/>
      <c r="M660" s="197"/>
      <c r="N660" s="182"/>
      <c r="O660" s="234" t="s">
        <v>1133</v>
      </c>
      <c r="P660" s="182"/>
      <c r="Q660" s="182"/>
      <c r="R660" s="182"/>
      <c r="S660" s="182"/>
    </row>
    <row r="661" spans="1:19" x14ac:dyDescent="0.2">
      <c r="A661" s="188"/>
      <c r="B661" s="178"/>
      <c r="C661" s="178"/>
      <c r="D661" s="187" t="s">
        <v>1133</v>
      </c>
      <c r="G661" s="182"/>
      <c r="H661" s="198"/>
      <c r="I661" s="199" t="s">
        <v>1049</v>
      </c>
      <c r="J661" s="240"/>
      <c r="K661" s="197" t="s">
        <v>1567</v>
      </c>
      <c r="L661" s="257"/>
      <c r="M661" s="257"/>
      <c r="N661" s="240"/>
      <c r="O661" s="256" t="s">
        <v>1133</v>
      </c>
      <c r="P661" s="182"/>
      <c r="Q661" s="182"/>
      <c r="R661" s="182"/>
      <c r="S661" s="182"/>
    </row>
    <row r="662" spans="1:19" ht="15.75" thickBot="1" x14ac:dyDescent="0.25">
      <c r="A662" s="188"/>
      <c r="B662" s="178"/>
      <c r="C662" s="178"/>
      <c r="D662" s="187" t="s">
        <v>1133</v>
      </c>
      <c r="G662" s="182"/>
      <c r="H662" s="198"/>
      <c r="I662" s="215" t="s">
        <v>1059</v>
      </c>
      <c r="J662" s="182"/>
      <c r="K662" s="259" t="s">
        <v>1568</v>
      </c>
      <c r="L662" s="197"/>
      <c r="M662" s="197"/>
      <c r="N662" s="182"/>
      <c r="O662" s="234" t="s">
        <v>1133</v>
      </c>
      <c r="P662" s="182"/>
      <c r="Q662" s="182"/>
      <c r="R662" s="182"/>
      <c r="S662" s="182"/>
    </row>
    <row r="663" spans="1:19" ht="15.75" thickTop="1" x14ac:dyDescent="0.2">
      <c r="A663" s="188">
        <v>80</v>
      </c>
      <c r="B663" s="178" t="s">
        <v>1569</v>
      </c>
      <c r="C663" s="178" t="s">
        <v>1570</v>
      </c>
      <c r="D663" s="187"/>
      <c r="G663" s="182"/>
      <c r="H663" s="265">
        <v>80</v>
      </c>
      <c r="I663" s="221"/>
      <c r="J663" s="270"/>
      <c r="K663" s="277" t="s">
        <v>1570</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5</v>
      </c>
      <c r="G664" s="182"/>
      <c r="H664" s="198"/>
      <c r="I664" s="204" t="s">
        <v>1022</v>
      </c>
      <c r="J664" s="182"/>
      <c r="K664" s="197" t="s">
        <v>1571</v>
      </c>
      <c r="L664" s="197"/>
      <c r="M664" s="197"/>
      <c r="N664" s="182"/>
      <c r="O664" s="234" t="s">
        <v>5</v>
      </c>
      <c r="P664" s="182"/>
      <c r="Q664" s="182"/>
      <c r="R664" s="182"/>
      <c r="S664" s="182"/>
    </row>
    <row r="665" spans="1:19" x14ac:dyDescent="0.2">
      <c r="A665" s="188"/>
      <c r="B665" s="178"/>
      <c r="C665" s="178"/>
      <c r="D665" s="187" t="s">
        <v>5</v>
      </c>
      <c r="G665" s="182"/>
      <c r="H665" s="198"/>
      <c r="I665" s="199" t="s">
        <v>1049</v>
      </c>
      <c r="J665" s="240"/>
      <c r="K665" s="257" t="s">
        <v>1572</v>
      </c>
      <c r="L665" s="257"/>
      <c r="M665" s="257"/>
      <c r="N665" s="240"/>
      <c r="O665" s="256" t="s">
        <v>5</v>
      </c>
      <c r="P665" s="182"/>
      <c r="Q665" s="182"/>
      <c r="R665" s="182"/>
      <c r="S665" s="182"/>
    </row>
    <row r="666" spans="1:19" x14ac:dyDescent="0.2">
      <c r="A666" s="188"/>
      <c r="B666" s="178"/>
      <c r="C666" s="178"/>
      <c r="D666" s="187" t="s">
        <v>5</v>
      </c>
      <c r="G666" s="182"/>
      <c r="H666" s="198"/>
      <c r="I666" s="199" t="s">
        <v>1059</v>
      </c>
      <c r="J666" s="240"/>
      <c r="K666" s="257" t="s">
        <v>1573</v>
      </c>
      <c r="L666" s="257"/>
      <c r="M666" s="257"/>
      <c r="N666" s="240"/>
      <c r="O666" s="256" t="s">
        <v>5</v>
      </c>
      <c r="P666" s="182"/>
      <c r="Q666" s="182"/>
      <c r="R666" s="182"/>
      <c r="S666" s="182"/>
    </row>
    <row r="667" spans="1:19" ht="15.75" thickBot="1" x14ac:dyDescent="0.25">
      <c r="A667" s="188"/>
      <c r="B667" s="178"/>
      <c r="C667" s="178"/>
      <c r="D667" s="187" t="s">
        <v>5</v>
      </c>
      <c r="G667" s="182"/>
      <c r="H667" s="244"/>
      <c r="I667" s="246" t="s">
        <v>1085</v>
      </c>
      <c r="J667" s="247"/>
      <c r="K667" s="248" t="s">
        <v>1574</v>
      </c>
      <c r="L667" s="248"/>
      <c r="M667" s="248"/>
      <c r="N667" s="247"/>
      <c r="O667" s="280" t="s">
        <v>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1575</v>
      </c>
      <c r="C671" s="178" t="s">
        <v>1576</v>
      </c>
      <c r="D671" s="187"/>
      <c r="G671" s="319"/>
      <c r="H671" s="220">
        <v>81</v>
      </c>
      <c r="I671" s="222"/>
      <c r="J671" s="232"/>
      <c r="K671" s="277" t="s">
        <v>1576</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1022</v>
      </c>
      <c r="J672" s="182"/>
      <c r="K672" s="197" t="s">
        <v>1577</v>
      </c>
      <c r="L672" s="182"/>
      <c r="M672" s="182"/>
      <c r="N672" s="182"/>
      <c r="O672" s="234"/>
      <c r="P672" s="182"/>
      <c r="Q672" s="182"/>
      <c r="R672" s="182"/>
      <c r="S672" s="182"/>
    </row>
    <row r="673" spans="1:19" x14ac:dyDescent="0.2">
      <c r="A673" s="188"/>
      <c r="B673" s="178"/>
      <c r="C673" s="178"/>
      <c r="D673" s="187" t="s">
        <v>1133</v>
      </c>
      <c r="G673" s="182"/>
      <c r="H673" s="198"/>
      <c r="I673" s="187"/>
      <c r="J673" s="204">
        <v>1</v>
      </c>
      <c r="K673" s="182"/>
      <c r="L673" s="197" t="s">
        <v>1578</v>
      </c>
      <c r="M673" s="182"/>
      <c r="N673" s="182"/>
      <c r="O673" s="234" t="s">
        <v>1133</v>
      </c>
      <c r="P673" s="182"/>
      <c r="Q673" s="182"/>
      <c r="R673" s="182"/>
      <c r="S673" s="182"/>
    </row>
    <row r="674" spans="1:19" x14ac:dyDescent="0.2">
      <c r="A674" s="188"/>
      <c r="B674" s="178"/>
      <c r="C674" s="178"/>
      <c r="D674" s="187" t="s">
        <v>1133</v>
      </c>
      <c r="G674" s="182"/>
      <c r="H674" s="198"/>
      <c r="I674" s="212"/>
      <c r="J674" s="207">
        <v>2</v>
      </c>
      <c r="K674" s="208"/>
      <c r="L674" s="209" t="s">
        <v>1579</v>
      </c>
      <c r="M674" s="208"/>
      <c r="N674" s="208"/>
      <c r="O674" s="252" t="s">
        <v>1133</v>
      </c>
      <c r="P674" s="182"/>
      <c r="Q674" s="182"/>
      <c r="R674" s="182"/>
      <c r="S674" s="182"/>
    </row>
    <row r="675" spans="1:19" x14ac:dyDescent="0.2">
      <c r="A675" s="188"/>
      <c r="B675" s="178"/>
      <c r="C675" s="178"/>
      <c r="D675" s="187"/>
      <c r="G675" s="182"/>
      <c r="H675" s="198"/>
      <c r="I675" s="199" t="s">
        <v>1049</v>
      </c>
      <c r="J675" s="182"/>
      <c r="K675" s="197" t="s">
        <v>1580</v>
      </c>
      <c r="L675" s="182"/>
      <c r="M675" s="182"/>
      <c r="N675" s="182"/>
      <c r="O675" s="234"/>
      <c r="P675" s="182"/>
      <c r="Q675" s="182"/>
      <c r="R675" s="182"/>
      <c r="S675" s="182"/>
    </row>
    <row r="676" spans="1:19" x14ac:dyDescent="0.2">
      <c r="A676" s="188"/>
      <c r="B676" s="178"/>
      <c r="C676" s="178"/>
      <c r="D676" s="187" t="s">
        <v>1133</v>
      </c>
      <c r="G676" s="182"/>
      <c r="H676" s="198"/>
      <c r="I676" s="187"/>
      <c r="J676" s="204">
        <v>1</v>
      </c>
      <c r="K676" s="182"/>
      <c r="L676" s="197" t="s">
        <v>1581</v>
      </c>
      <c r="M676" s="182"/>
      <c r="N676" s="182"/>
      <c r="O676" s="234" t="s">
        <v>1133</v>
      </c>
      <c r="P676" s="182"/>
      <c r="Q676" s="182"/>
      <c r="R676" s="182"/>
      <c r="S676" s="182"/>
    </row>
    <row r="677" spans="1:19" ht="15.75" thickBot="1" x14ac:dyDescent="0.25">
      <c r="A677" s="188"/>
      <c r="B677" s="178"/>
      <c r="C677" s="178"/>
      <c r="D677" s="187" t="s">
        <v>1133</v>
      </c>
      <c r="G677" s="182"/>
      <c r="H677" s="198"/>
      <c r="I677" s="187"/>
      <c r="J677" s="215">
        <v>2</v>
      </c>
      <c r="K677" s="182"/>
      <c r="L677" s="197" t="s">
        <v>1579</v>
      </c>
      <c r="M677" s="182"/>
      <c r="N677" s="182"/>
      <c r="O677" s="234" t="s">
        <v>1133</v>
      </c>
      <c r="P677" s="182"/>
      <c r="Q677" s="182"/>
      <c r="R677" s="182"/>
      <c r="S677" s="182"/>
    </row>
    <row r="678" spans="1:19" ht="16.5" thickTop="1" thickBot="1" x14ac:dyDescent="0.25">
      <c r="A678" s="188">
        <v>82</v>
      </c>
      <c r="B678" s="178" t="s">
        <v>1582</v>
      </c>
      <c r="C678" s="178" t="s">
        <v>1583</v>
      </c>
      <c r="D678" s="187" t="s">
        <v>1216</v>
      </c>
      <c r="G678" s="182"/>
      <c r="H678" s="291">
        <v>82</v>
      </c>
      <c r="I678" s="292"/>
      <c r="J678" s="293"/>
      <c r="K678" s="294" t="s">
        <v>1583</v>
      </c>
      <c r="L678" s="293"/>
      <c r="M678" s="293"/>
      <c r="N678" s="293"/>
      <c r="O678" s="295" t="s">
        <v>1216</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1584</v>
      </c>
      <c r="C679" s="178" t="s">
        <v>1585</v>
      </c>
      <c r="D679" s="187"/>
      <c r="G679" s="182"/>
      <c r="H679" s="220">
        <v>83</v>
      </c>
      <c r="I679" s="222"/>
      <c r="J679" s="222"/>
      <c r="K679" s="231" t="s">
        <v>1585</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908</v>
      </c>
      <c r="G680" s="182"/>
      <c r="H680" s="198"/>
      <c r="I680" s="301" t="s">
        <v>1022</v>
      </c>
      <c r="J680" s="187"/>
      <c r="K680" s="230" t="s">
        <v>1586</v>
      </c>
      <c r="L680" s="182"/>
      <c r="M680" s="182"/>
      <c r="N680" s="182"/>
      <c r="O680" s="234" t="s">
        <v>908</v>
      </c>
      <c r="P680" s="182"/>
      <c r="Q680" s="182"/>
      <c r="R680" s="182"/>
      <c r="S680" s="182"/>
    </row>
    <row r="681" spans="1:19" x14ac:dyDescent="0.2">
      <c r="A681" s="188"/>
      <c r="B681" s="178"/>
      <c r="C681" s="178"/>
      <c r="D681" s="187" t="s">
        <v>908</v>
      </c>
      <c r="G681" s="182"/>
      <c r="H681" s="198"/>
      <c r="I681" s="199" t="s">
        <v>1049</v>
      </c>
      <c r="J681" s="302"/>
      <c r="K681" s="257" t="s">
        <v>1587</v>
      </c>
      <c r="L681" s="257"/>
      <c r="M681" s="240"/>
      <c r="N681" s="240"/>
      <c r="O681" s="256" t="s">
        <v>908</v>
      </c>
      <c r="P681" s="182"/>
      <c r="Q681" s="182"/>
      <c r="R681" s="182"/>
      <c r="S681" s="182"/>
    </row>
    <row r="682" spans="1:19" x14ac:dyDescent="0.2">
      <c r="A682" s="188"/>
      <c r="B682" s="178"/>
      <c r="C682" s="178"/>
      <c r="D682" s="187" t="s">
        <v>908</v>
      </c>
      <c r="G682" s="182"/>
      <c r="H682" s="198"/>
      <c r="I682" s="204" t="s">
        <v>1059</v>
      </c>
      <c r="J682" s="187"/>
      <c r="K682" s="230" t="s">
        <v>1588</v>
      </c>
      <c r="L682" s="197"/>
      <c r="M682" s="182"/>
      <c r="N682" s="182"/>
      <c r="O682" s="234" t="s">
        <v>908</v>
      </c>
      <c r="P682" s="182"/>
      <c r="Q682" s="182"/>
      <c r="R682" s="182"/>
      <c r="S682" s="182"/>
    </row>
    <row r="683" spans="1:19" x14ac:dyDescent="0.2">
      <c r="A683" s="188"/>
      <c r="B683" s="178"/>
      <c r="C683" s="178"/>
      <c r="D683" s="187" t="s">
        <v>908</v>
      </c>
      <c r="G683" s="182"/>
      <c r="H683" s="198"/>
      <c r="I683" s="199" t="s">
        <v>1085</v>
      </c>
      <c r="J683" s="302"/>
      <c r="K683" s="239" t="s">
        <v>1589</v>
      </c>
      <c r="L683" s="257"/>
      <c r="M683" s="240"/>
      <c r="N683" s="240"/>
      <c r="O683" s="256" t="s">
        <v>908</v>
      </c>
      <c r="P683" s="182"/>
      <c r="Q683" s="182"/>
      <c r="R683" s="182"/>
      <c r="S683" s="182"/>
    </row>
    <row r="684" spans="1:19" x14ac:dyDescent="0.2">
      <c r="A684" s="188"/>
      <c r="B684" s="178"/>
      <c r="C684" s="178"/>
      <c r="D684" s="187" t="s">
        <v>908</v>
      </c>
      <c r="G684" s="182"/>
      <c r="H684" s="198"/>
      <c r="I684" s="204" t="s">
        <v>1127</v>
      </c>
      <c r="J684" s="187"/>
      <c r="K684" s="230" t="s">
        <v>1590</v>
      </c>
      <c r="L684" s="197"/>
      <c r="M684" s="182"/>
      <c r="N684" s="182"/>
      <c r="O684" s="234" t="s">
        <v>908</v>
      </c>
      <c r="P684" s="182"/>
      <c r="Q684" s="182"/>
      <c r="R684" s="182"/>
      <c r="S684" s="182"/>
    </row>
    <row r="685" spans="1:19" ht="15.75" thickBot="1" x14ac:dyDescent="0.25">
      <c r="A685" s="188"/>
      <c r="B685" s="178"/>
      <c r="C685" s="178"/>
      <c r="D685" s="187" t="s">
        <v>908</v>
      </c>
      <c r="G685" s="182"/>
      <c r="H685" s="213"/>
      <c r="I685" s="225" t="s">
        <v>1130</v>
      </c>
      <c r="J685" s="226"/>
      <c r="K685" s="227" t="s">
        <v>1591</v>
      </c>
      <c r="L685" s="259"/>
      <c r="M685" s="228"/>
      <c r="N685" s="228"/>
      <c r="O685" s="260" t="s">
        <v>908</v>
      </c>
      <c r="P685" s="182"/>
      <c r="Q685" s="182"/>
      <c r="R685" s="182"/>
      <c r="S685" s="182"/>
    </row>
    <row r="686" spans="1:19" ht="15.75" thickTop="1" x14ac:dyDescent="0.2">
      <c r="A686" s="188">
        <v>84</v>
      </c>
      <c r="B686" s="178" t="s">
        <v>1592</v>
      </c>
      <c r="C686" s="178" t="s">
        <v>1593</v>
      </c>
      <c r="D686" s="187"/>
      <c r="G686" s="182"/>
      <c r="H686" s="220">
        <v>84</v>
      </c>
      <c r="I686" s="222"/>
      <c r="J686" s="232"/>
      <c r="K686" s="277" t="s">
        <v>1593</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1594</v>
      </c>
      <c r="G687" s="182"/>
      <c r="H687" s="198"/>
      <c r="I687" s="199" t="s">
        <v>1022</v>
      </c>
      <c r="J687" s="302"/>
      <c r="K687" s="257" t="s">
        <v>1387</v>
      </c>
      <c r="L687" s="240"/>
      <c r="M687" s="240"/>
      <c r="N687" s="240"/>
      <c r="O687" s="256" t="s">
        <v>1594</v>
      </c>
      <c r="P687" s="182"/>
      <c r="Q687" s="182"/>
      <c r="R687" s="182"/>
      <c r="S687" s="182"/>
    </row>
    <row r="688" spans="1:19" ht="15.75" thickBot="1" x14ac:dyDescent="0.25">
      <c r="A688" s="188"/>
      <c r="B688" s="178"/>
      <c r="C688" s="178"/>
      <c r="D688" s="187" t="s">
        <v>1595</v>
      </c>
      <c r="G688" s="182"/>
      <c r="H688" s="198"/>
      <c r="I688" s="215" t="s">
        <v>1049</v>
      </c>
      <c r="J688" s="187"/>
      <c r="K688" s="197" t="s">
        <v>1388</v>
      </c>
      <c r="L688" s="182"/>
      <c r="M688" s="182"/>
      <c r="N688" s="182"/>
      <c r="O688" s="234" t="s">
        <v>1595</v>
      </c>
      <c r="P688" s="182"/>
      <c r="Q688" s="182"/>
      <c r="R688" s="182"/>
      <c r="S688" s="182"/>
    </row>
    <row r="689" spans="1:19" ht="15.75" thickTop="1" x14ac:dyDescent="0.2">
      <c r="A689" s="188">
        <v>85</v>
      </c>
      <c r="B689" s="178" t="s">
        <v>1596</v>
      </c>
      <c r="C689" s="178" t="s">
        <v>1597</v>
      </c>
      <c r="D689" s="187"/>
      <c r="G689" s="182"/>
      <c r="H689" s="265">
        <v>85</v>
      </c>
      <c r="I689" s="221"/>
      <c r="J689" s="270"/>
      <c r="K689" s="271" t="s">
        <v>1597</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1598</v>
      </c>
      <c r="D690" s="187" t="s">
        <v>1250</v>
      </c>
      <c r="G690" s="182"/>
      <c r="H690" s="198"/>
      <c r="I690" s="199" t="s">
        <v>1022</v>
      </c>
      <c r="J690" s="240"/>
      <c r="K690" s="257" t="s">
        <v>1599</v>
      </c>
      <c r="L690" s="257"/>
      <c r="M690" s="257"/>
      <c r="N690" s="257"/>
      <c r="O690" s="256" t="s">
        <v>1250</v>
      </c>
      <c r="P690" s="182"/>
      <c r="Q690" s="182"/>
      <c r="R690" s="182"/>
      <c r="S690" s="182"/>
    </row>
    <row r="691" spans="1:19" ht="15.75" thickBot="1" x14ac:dyDescent="0.25">
      <c r="A691" s="188">
        <v>2</v>
      </c>
      <c r="B691" s="189" t="str">
        <f>CONCATENATE($B$689,".",TEXT(A691,"0000"))</f>
        <v>II-0085.0002</v>
      </c>
      <c r="C691" s="178" t="s">
        <v>1600</v>
      </c>
      <c r="D691" s="187" t="s">
        <v>1250</v>
      </c>
      <c r="G691" s="182"/>
      <c r="H691" s="213"/>
      <c r="I691" s="215" t="s">
        <v>1049</v>
      </c>
      <c r="J691" s="216"/>
      <c r="K691" s="217" t="s">
        <v>1601</v>
      </c>
      <c r="L691" s="217"/>
      <c r="M691" s="217"/>
      <c r="N691" s="217"/>
      <c r="O691" s="278" t="s">
        <v>1250</v>
      </c>
      <c r="P691" s="182"/>
      <c r="Q691" s="182"/>
      <c r="R691" s="182"/>
      <c r="S691" s="182"/>
    </row>
    <row r="692" spans="1:19" ht="15.75" thickTop="1" x14ac:dyDescent="0.2">
      <c r="A692" s="188">
        <v>86</v>
      </c>
      <c r="B692" s="178" t="s">
        <v>1602</v>
      </c>
      <c r="C692" s="178" t="s">
        <v>1603</v>
      </c>
      <c r="D692" s="187"/>
      <c r="G692" s="182"/>
      <c r="H692" s="265">
        <v>86</v>
      </c>
      <c r="I692" s="221"/>
      <c r="J692" s="270"/>
      <c r="K692" s="271" t="s">
        <v>1603</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1216</v>
      </c>
      <c r="G693" s="182"/>
      <c r="H693" s="198"/>
      <c r="I693" s="199" t="s">
        <v>1022</v>
      </c>
      <c r="J693" s="240"/>
      <c r="K693" s="257" t="s">
        <v>1604</v>
      </c>
      <c r="L693" s="240"/>
      <c r="M693" s="240"/>
      <c r="N693" s="240"/>
      <c r="O693" s="256" t="s">
        <v>1216</v>
      </c>
      <c r="P693" s="182"/>
      <c r="Q693" s="182"/>
      <c r="R693" s="182"/>
      <c r="S693" s="182"/>
    </row>
    <row r="694" spans="1:19" x14ac:dyDescent="0.2">
      <c r="A694" s="188"/>
      <c r="B694" s="178"/>
      <c r="C694" s="178"/>
      <c r="D694" s="187" t="s">
        <v>1216</v>
      </c>
      <c r="G694" s="182"/>
      <c r="H694" s="198"/>
      <c r="I694" s="204" t="s">
        <v>1049</v>
      </c>
      <c r="J694" s="182"/>
      <c r="K694" s="197" t="s">
        <v>1605</v>
      </c>
      <c r="L694" s="182"/>
      <c r="M694" s="182"/>
      <c r="N694" s="182"/>
      <c r="O694" s="234" t="s">
        <v>1216</v>
      </c>
      <c r="P694" s="182"/>
      <c r="Q694" s="182"/>
      <c r="R694" s="182"/>
      <c r="S694" s="182"/>
    </row>
    <row r="695" spans="1:19" x14ac:dyDescent="0.2">
      <c r="A695" s="188"/>
      <c r="B695" s="178"/>
      <c r="C695" s="178"/>
      <c r="D695" s="187" t="s">
        <v>1216</v>
      </c>
      <c r="G695" s="182"/>
      <c r="H695" s="198"/>
      <c r="I695" s="199" t="s">
        <v>1059</v>
      </c>
      <c r="J695" s="240"/>
      <c r="K695" s="257" t="s">
        <v>1606</v>
      </c>
      <c r="L695" s="240"/>
      <c r="M695" s="240"/>
      <c r="N695" s="240"/>
      <c r="O695" s="256" t="s">
        <v>1216</v>
      </c>
      <c r="P695" s="182"/>
      <c r="Q695" s="182"/>
      <c r="R695" s="182"/>
      <c r="S695" s="182"/>
    </row>
    <row r="696" spans="1:19" x14ac:dyDescent="0.2">
      <c r="A696" s="188"/>
      <c r="B696" s="178"/>
      <c r="C696" s="178"/>
      <c r="D696" s="187" t="s">
        <v>1216</v>
      </c>
      <c r="G696" s="182"/>
      <c r="H696" s="198"/>
      <c r="I696" s="204" t="s">
        <v>1085</v>
      </c>
      <c r="J696" s="182"/>
      <c r="K696" s="197" t="s">
        <v>1315</v>
      </c>
      <c r="L696" s="182"/>
      <c r="M696" s="182"/>
      <c r="N696" s="182"/>
      <c r="O696" s="234" t="s">
        <v>1216</v>
      </c>
      <c r="P696" s="182"/>
      <c r="Q696" s="182"/>
      <c r="R696" s="182"/>
      <c r="S696" s="182"/>
    </row>
    <row r="697" spans="1:19" x14ac:dyDescent="0.2">
      <c r="A697" s="188"/>
      <c r="B697" s="178"/>
      <c r="C697" s="178"/>
      <c r="D697" s="187" t="s">
        <v>1216</v>
      </c>
      <c r="G697" s="182"/>
      <c r="H697" s="198"/>
      <c r="I697" s="199" t="s">
        <v>1127</v>
      </c>
      <c r="J697" s="240"/>
      <c r="K697" s="257" t="s">
        <v>1607</v>
      </c>
      <c r="L697" s="240"/>
      <c r="M697" s="240"/>
      <c r="N697" s="240"/>
      <c r="O697" s="256" t="s">
        <v>1216</v>
      </c>
      <c r="P697" s="182"/>
      <c r="Q697" s="182"/>
      <c r="R697" s="182"/>
      <c r="S697" s="182"/>
    </row>
    <row r="698" spans="1:19" x14ac:dyDescent="0.2">
      <c r="A698" s="188"/>
      <c r="B698" s="178"/>
      <c r="C698" s="178"/>
      <c r="D698" s="187" t="s">
        <v>1216</v>
      </c>
      <c r="G698" s="182"/>
      <c r="H698" s="198"/>
      <c r="I698" s="199" t="s">
        <v>1130</v>
      </c>
      <c r="J698" s="240"/>
      <c r="K698" s="257" t="s">
        <v>1608</v>
      </c>
      <c r="L698" s="240"/>
      <c r="M698" s="240"/>
      <c r="N698" s="240"/>
      <c r="O698" s="256" t="s">
        <v>1216</v>
      </c>
      <c r="P698" s="182"/>
      <c r="Q698" s="182"/>
      <c r="R698" s="182"/>
      <c r="S698" s="182"/>
    </row>
    <row r="699" spans="1:19" ht="15.75" thickBot="1" x14ac:dyDescent="0.25">
      <c r="A699" s="188"/>
      <c r="B699" s="178"/>
      <c r="C699" s="178"/>
      <c r="D699" s="187" t="s">
        <v>1216</v>
      </c>
      <c r="G699" s="182"/>
      <c r="H699" s="198"/>
      <c r="I699" s="215" t="s">
        <v>1134</v>
      </c>
      <c r="J699" s="182"/>
      <c r="K699" s="197" t="s">
        <v>1609</v>
      </c>
      <c r="L699" s="182"/>
      <c r="M699" s="182"/>
      <c r="N699" s="182"/>
      <c r="O699" s="234" t="s">
        <v>1216</v>
      </c>
      <c r="P699" s="182"/>
      <c r="Q699" s="182"/>
      <c r="R699" s="182"/>
      <c r="S699" s="182"/>
    </row>
    <row r="700" spans="1:19" ht="15.75" thickTop="1" x14ac:dyDescent="0.2">
      <c r="A700" s="188">
        <v>87</v>
      </c>
      <c r="B700" s="178" t="s">
        <v>1610</v>
      </c>
      <c r="C700" s="178" t="s">
        <v>1611</v>
      </c>
      <c r="D700" s="187"/>
      <c r="G700" s="182"/>
      <c r="H700" s="265">
        <v>87</v>
      </c>
      <c r="I700" s="266"/>
      <c r="J700" s="267"/>
      <c r="K700" s="309" t="s">
        <v>1611</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1258</v>
      </c>
      <c r="G701" s="182"/>
      <c r="H701" s="198"/>
      <c r="I701" s="199" t="s">
        <v>1022</v>
      </c>
      <c r="J701" s="240"/>
      <c r="K701" s="257" t="s">
        <v>1612</v>
      </c>
      <c r="L701" s="257"/>
      <c r="M701" s="257"/>
      <c r="N701" s="257"/>
      <c r="O701" s="256" t="s">
        <v>1258</v>
      </c>
      <c r="P701" s="182"/>
      <c r="Q701" s="182"/>
      <c r="R701" s="182"/>
      <c r="S701" s="182"/>
    </row>
    <row r="702" spans="1:19" ht="15.75" thickBot="1" x14ac:dyDescent="0.25">
      <c r="A702" s="188"/>
      <c r="B702" s="178"/>
      <c r="C702" s="178"/>
      <c r="D702" s="187" t="s">
        <v>1258</v>
      </c>
      <c r="G702" s="182"/>
      <c r="H702" s="258"/>
      <c r="I702" s="215" t="s">
        <v>1049</v>
      </c>
      <c r="J702" s="216"/>
      <c r="K702" s="217" t="s">
        <v>1438</v>
      </c>
      <c r="L702" s="217"/>
      <c r="M702" s="217"/>
      <c r="N702" s="217"/>
      <c r="O702" s="278" t="s">
        <v>1258</v>
      </c>
      <c r="P702" s="182"/>
      <c r="Q702" s="182"/>
      <c r="R702" s="182"/>
      <c r="S702" s="182"/>
    </row>
    <row r="703" spans="1:19" ht="16.5" thickTop="1" thickBot="1" x14ac:dyDescent="0.25">
      <c r="A703" s="188">
        <v>88</v>
      </c>
      <c r="B703" s="178" t="s">
        <v>1613</v>
      </c>
      <c r="C703" s="178" t="s">
        <v>1614</v>
      </c>
      <c r="D703" s="187" t="s">
        <v>1133</v>
      </c>
      <c r="G703" s="182"/>
      <c r="H703" s="220">
        <v>88</v>
      </c>
      <c r="I703" s="222"/>
      <c r="J703" s="232"/>
      <c r="K703" s="277" t="s">
        <v>1614</v>
      </c>
      <c r="L703" s="232"/>
      <c r="M703" s="232"/>
      <c r="N703" s="232"/>
      <c r="O703" s="242" t="s">
        <v>1133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1615</v>
      </c>
      <c r="C704" s="178" t="s">
        <v>1616</v>
      </c>
      <c r="D704" s="187" t="s">
        <v>1476</v>
      </c>
      <c r="G704" s="182"/>
      <c r="H704" s="272">
        <v>89</v>
      </c>
      <c r="I704" s="273"/>
      <c r="J704" s="274"/>
      <c r="K704" s="275" t="s">
        <v>1616</v>
      </c>
      <c r="L704" s="274"/>
      <c r="M704" s="274"/>
      <c r="N704" s="274"/>
      <c r="O704" s="276" t="s">
        <v>1476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00" t="str">
        <f>Obra</f>
        <v>OBRA BÁSICA Y PAVIMENTACIÓN CALLE GÜEMES</v>
      </c>
      <c r="B1" s="700"/>
      <c r="C1" s="700"/>
      <c r="D1" s="700"/>
      <c r="E1" s="700"/>
      <c r="F1" s="700"/>
      <c r="G1" s="700"/>
    </row>
    <row r="2" spans="1:9" ht="15" customHeight="1" x14ac:dyDescent="0.2">
      <c r="A2" s="702" t="str">
        <f>IF(Tramo=0,"","TRAMO: "&amp;Tramo)</f>
        <v>TRAMO: CALLE GORRITI SUR - CALLE BELGRANO</v>
      </c>
      <c r="B2" s="702"/>
      <c r="C2" s="702"/>
      <c r="D2" s="702"/>
      <c r="E2" s="702"/>
      <c r="F2" s="702"/>
      <c r="G2" s="702"/>
    </row>
    <row r="3" spans="1:9" ht="15" customHeight="1" x14ac:dyDescent="0.2">
      <c r="A3" s="702" t="str">
        <f>IF(Sección_I=0,"","SECCIÓN I: "&amp;Sección_I)</f>
        <v/>
      </c>
      <c r="B3" s="702"/>
      <c r="C3" s="702"/>
      <c r="D3" s="702"/>
      <c r="E3" s="702"/>
      <c r="F3" s="702"/>
      <c r="G3" s="702"/>
    </row>
    <row r="4" spans="1:9" ht="15" customHeight="1" x14ac:dyDescent="0.2">
      <c r="A4" s="702" t="str">
        <f>IF(Sección_II=0,"","SECCIÓN II: "&amp;Sección_II)</f>
        <v/>
      </c>
      <c r="B4" s="702"/>
      <c r="C4" s="702"/>
      <c r="D4" s="702"/>
      <c r="E4" s="702"/>
      <c r="F4" s="702"/>
      <c r="G4" s="702"/>
    </row>
    <row r="5" spans="1:9" ht="15" customHeight="1" x14ac:dyDescent="0.2">
      <c r="A5" s="702" t="str">
        <f>IF(Sección_III=0,"","SECCIÓN III: "&amp;Sección_III)</f>
        <v/>
      </c>
      <c r="B5" s="702"/>
      <c r="C5" s="702"/>
      <c r="D5" s="702"/>
      <c r="E5" s="702"/>
      <c r="F5" s="702"/>
      <c r="G5" s="702"/>
    </row>
    <row r="6" spans="1:9" ht="15" customHeight="1" x14ac:dyDescent="0.2">
      <c r="A6" s="702" t="str">
        <f>IF(Ubicación=0,"","DEPARTAMENTO: "&amp;Ubicación)</f>
        <v>DEPARTAMENTO: Rawson - Santa Lucia</v>
      </c>
      <c r="B6" s="702"/>
      <c r="C6" s="702"/>
      <c r="D6" s="702"/>
      <c r="E6" s="702"/>
      <c r="F6" s="702"/>
      <c r="G6" s="702"/>
    </row>
    <row r="7" spans="1:9" ht="19.5" customHeight="1" x14ac:dyDescent="0.2">
      <c r="A7" s="159"/>
      <c r="B7" s="159"/>
      <c r="C7" s="159"/>
      <c r="D7" s="159"/>
      <c r="E7" s="159"/>
      <c r="F7" s="159"/>
      <c r="G7" s="159"/>
    </row>
    <row r="8" spans="1:9" ht="19.5" customHeight="1" x14ac:dyDescent="0.2">
      <c r="A8" s="160" t="s">
        <v>986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992</v>
      </c>
      <c r="C10" s="166"/>
      <c r="D10" s="166"/>
      <c r="E10" s="166"/>
      <c r="F10" s="166"/>
      <c r="G10" s="166"/>
    </row>
    <row r="11" spans="1:9" s="5" customFormat="1" ht="80.099999999999994" customHeight="1" x14ac:dyDescent="0.2">
      <c r="B11" s="697"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7"/>
      <c r="D11" s="697"/>
      <c r="E11" s="697"/>
      <c r="F11" s="697"/>
      <c r="G11" s="697"/>
    </row>
    <row r="12" spans="1:9" s="5" customFormat="1" ht="19.5" customHeight="1" x14ac:dyDescent="0.2">
      <c r="A12" s="11"/>
      <c r="B12" s="12"/>
      <c r="I12" s="447" t="s">
        <v>993</v>
      </c>
    </row>
    <row r="13" spans="1:9" ht="20.100000000000001" customHeight="1" x14ac:dyDescent="0.2">
      <c r="A13" s="698" t="s">
        <v>894</v>
      </c>
      <c r="B13" s="701" t="s">
        <v>0</v>
      </c>
      <c r="C13" s="698" t="s">
        <v>1</v>
      </c>
      <c r="D13" s="698" t="s">
        <v>2</v>
      </c>
      <c r="E13" s="701" t="s">
        <v>987</v>
      </c>
      <c r="F13" s="701"/>
      <c r="G13" s="698" t="s">
        <v>938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8"/>
      <c r="B14" s="701"/>
      <c r="C14" s="698"/>
      <c r="D14" s="698"/>
      <c r="E14" s="445" t="s">
        <v>988</v>
      </c>
      <c r="F14" s="445" t="s">
        <v>989</v>
      </c>
      <c r="G14" s="698"/>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Desbosque, destronque y limpieza del terreno</v>
      </c>
      <c r="C16" s="168" t="str">
        <f t="shared" ref="C16" ca="1" si="1">IFERROR(VLOOKUP(A16,T_Computo_Presupuesto,4,FALSE),"")</f>
        <v>Ha</v>
      </c>
      <c r="D16" s="409">
        <f t="shared" ref="D16" ca="1" si="2">IFERROR(VLOOKUP(A16,T_Computo_Presupuesto,5,FALSE),"")</f>
        <v>1.54</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Extracción de Arboles  y Tocones (diam.&gt;0,60 m y &lt;1,00 m)</v>
      </c>
      <c r="C17" s="168" t="str">
        <f t="shared" ref="C17:C75" ca="1" si="6">IFERROR(VLOOKUP(A17,T_Computo_Presupuesto,4,FALSE),"")</f>
        <v>Un.</v>
      </c>
      <c r="D17" s="409">
        <f t="shared" ref="D17:D75" ca="1" si="7">IFERROR(VLOOKUP(A17,T_Computo_Presupuesto,5,FALSE),"")</f>
        <v>4</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Excavación No Clasificada</v>
      </c>
      <c r="C18" s="168" t="str">
        <f t="shared" ca="1" si="6"/>
        <v>m3</v>
      </c>
      <c r="D18" s="409">
        <f t="shared" ca="1" si="7"/>
        <v>129.06</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Construcción de Subbase Estabilizada Granular</v>
      </c>
      <c r="C19" s="168" t="str">
        <f t="shared" ca="1" si="6"/>
        <v>m3</v>
      </c>
      <c r="D19" s="409">
        <f t="shared" ca="1" si="7"/>
        <v>11123.88</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Construcción de Base Estabilizada Granular</v>
      </c>
      <c r="C20" s="168" t="str">
        <f t="shared" ca="1" si="6"/>
        <v>m3</v>
      </c>
      <c r="D20" s="409">
        <f t="shared" ca="1" si="7"/>
        <v>2310.87</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Cumplimiento Manejo Ambiental</v>
      </c>
      <c r="C21" s="168" t="str">
        <f t="shared" ca="1" si="6"/>
        <v>mes</v>
      </c>
      <c r="D21" s="409">
        <f t="shared" ca="1" si="7"/>
        <v>6</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 xml:space="preserve">Movilidad Para el Personal de la Dirección Provincial de Vialidad </v>
      </c>
      <c r="C22" s="168" t="str">
        <f t="shared" ca="1" si="6"/>
        <v>-</v>
      </c>
      <c r="D22" s="409">
        <f t="shared" ca="1" si="7"/>
        <v>0</v>
      </c>
      <c r="E22" s="410" t="str">
        <f t="shared" ca="1" si="8"/>
        <v/>
      </c>
      <c r="F22" s="411">
        <f t="shared" ca="1" si="4"/>
        <v>0</v>
      </c>
      <c r="G22" s="411">
        <f t="shared" ca="1" si="9"/>
        <v>0</v>
      </c>
    </row>
    <row r="23" spans="1:7" ht="30" customHeight="1" x14ac:dyDescent="0.2">
      <c r="A23" s="56" t="str">
        <f ca="1">INDIRECT("Datos!B"&amp;MATCH("RUBRO ITEM",Datos!B:B,0)+ROW()-MATCH("RUBRO ITEM",A:A,0)-1)</f>
        <v>7.1</v>
      </c>
      <c r="B23" s="408" t="str">
        <f t="shared" ca="1" si="5"/>
        <v>A) - Cuota Mensual</v>
      </c>
      <c r="C23" s="168" t="str">
        <f t="shared" ca="1" si="6"/>
        <v>mes</v>
      </c>
      <c r="D23" s="409">
        <f t="shared" ca="1" si="7"/>
        <v>6</v>
      </c>
      <c r="E23" s="410" t="str">
        <f t="shared" ca="1" si="8"/>
        <v/>
      </c>
      <c r="F23" s="411">
        <f t="shared" ca="1" si="4"/>
        <v>0</v>
      </c>
      <c r="G23" s="411">
        <f t="shared" ca="1" si="9"/>
        <v>0</v>
      </c>
    </row>
    <row r="24" spans="1:7" ht="30" customHeight="1" x14ac:dyDescent="0.2">
      <c r="A24" s="56" t="str">
        <f ca="1">INDIRECT("Datos!B"&amp;MATCH("RUBRO ITEM",Datos!B:B,0)+ROW()-MATCH("RUBRO ITEM",A:A,0)-1)</f>
        <v>7.2</v>
      </c>
      <c r="B24" s="408" t="str">
        <f t="shared" ca="1" si="5"/>
        <v>B)- Adicional por Km.</v>
      </c>
      <c r="C24" s="168" t="str">
        <f t="shared" ca="1" si="6"/>
        <v>Km.</v>
      </c>
      <c r="D24" s="409">
        <f t="shared" ca="1" si="7"/>
        <v>1020</v>
      </c>
      <c r="E24" s="410" t="str">
        <f t="shared" ca="1" si="8"/>
        <v/>
      </c>
      <c r="F24" s="411">
        <f t="shared" ca="1" si="4"/>
        <v>0</v>
      </c>
      <c r="G24" s="411">
        <f t="shared" ca="1" si="9"/>
        <v>0</v>
      </c>
    </row>
    <row r="25" spans="1:7" ht="30" customHeight="1" x14ac:dyDescent="0.2">
      <c r="A25" s="56">
        <f ca="1">INDIRECT("Datos!B"&amp;MATCH("RUBRO ITEM",Datos!B:B,0)+ROW()-MATCH("RUBRO ITEM",A:A,0)-1)</f>
        <v>8</v>
      </c>
      <c r="B25" s="408" t="str">
        <f t="shared" ca="1" si="5"/>
        <v>Movilización de Obra</v>
      </c>
      <c r="C25" s="168" t="str">
        <f t="shared" ca="1" si="6"/>
        <v>gl</v>
      </c>
      <c r="D25" s="409">
        <f t="shared" ca="1" si="7"/>
        <v>1</v>
      </c>
      <c r="E25" s="410" t="str">
        <f t="shared" ca="1" si="8"/>
        <v/>
      </c>
      <c r="F25" s="411">
        <f t="shared" ca="1" si="4"/>
        <v>0</v>
      </c>
      <c r="G25" s="411">
        <f t="shared" ca="1" si="9"/>
        <v>0</v>
      </c>
    </row>
    <row r="26" spans="1:7" ht="30" customHeight="1" x14ac:dyDescent="0.2">
      <c r="A26" s="56">
        <f ca="1">INDIRECT("Datos!B"&amp;MATCH("RUBRO ITEM",Datos!B:B,0)+ROW()-MATCH("RUBRO ITEM",A:A,0)-1)</f>
        <v>0</v>
      </c>
      <c r="B26" s="408" t="str">
        <f t="shared" ca="1" si="5"/>
        <v/>
      </c>
      <c r="C26" s="168" t="str">
        <f t="shared" ca="1" si="6"/>
        <v/>
      </c>
      <c r="D26" s="409">
        <f t="shared" ca="1" si="7"/>
        <v>0</v>
      </c>
      <c r="E26" s="410" t="str">
        <f t="shared" ca="1" si="8"/>
        <v/>
      </c>
      <c r="F26" s="411">
        <f t="shared" ca="1" si="4"/>
        <v>0</v>
      </c>
      <c r="G26" s="411">
        <f t="shared" ca="1" si="9"/>
        <v>0</v>
      </c>
    </row>
    <row r="27" spans="1:7" ht="30" customHeight="1" x14ac:dyDescent="0.2">
      <c r="A27" s="56">
        <f ca="1">INDIRECT("Datos!B"&amp;MATCH("RUBRO ITEM",Datos!B:B,0)+ROW()-MATCH("RUBRO ITEM",A:A,0)-1)</f>
        <v>0</v>
      </c>
      <c r="B27" s="408" t="str">
        <f t="shared" ca="1" si="5"/>
        <v/>
      </c>
      <c r="C27" s="168" t="str">
        <f t="shared" ca="1" si="6"/>
        <v/>
      </c>
      <c r="D27" s="409">
        <f t="shared" ca="1" si="7"/>
        <v>0</v>
      </c>
      <c r="E27" s="410" t="str">
        <f t="shared" ca="1" si="8"/>
        <v/>
      </c>
      <c r="F27" s="411">
        <f t="shared" ca="1" si="4"/>
        <v>0</v>
      </c>
      <c r="G27" s="411">
        <f t="shared" ca="1" si="9"/>
        <v>0</v>
      </c>
    </row>
    <row r="28" spans="1:7" ht="30" customHeight="1" x14ac:dyDescent="0.2">
      <c r="A28" s="56">
        <f ca="1">INDIRECT("Datos!B"&amp;MATCH("RUBRO ITEM",Datos!B:B,0)+ROW()-MATCH("RUBRO ITEM",A:A,0)-1)</f>
        <v>0</v>
      </c>
      <c r="B28" s="408" t="str">
        <f t="shared" ca="1" si="5"/>
        <v/>
      </c>
      <c r="C28" s="168" t="str">
        <f t="shared" ca="1" si="6"/>
        <v/>
      </c>
      <c r="D28" s="409">
        <f t="shared" ca="1" si="7"/>
        <v>0</v>
      </c>
      <c r="E28" s="410" t="str">
        <f t="shared" ca="1" si="8"/>
        <v/>
      </c>
      <c r="F28" s="411">
        <f t="shared" ca="1" si="4"/>
        <v>0</v>
      </c>
      <c r="G28" s="411">
        <f t="shared" ca="1" si="9"/>
        <v>0</v>
      </c>
    </row>
    <row r="29" spans="1:7" ht="30" customHeight="1" x14ac:dyDescent="0.2">
      <c r="A29" s="56">
        <f ca="1">INDIRECT("Datos!B"&amp;MATCH("RUBRO ITEM",Datos!B:B,0)+ROW()-MATCH("RUBRO ITEM",A:A,0)-1)</f>
        <v>0</v>
      </c>
      <c r="B29" s="408" t="str">
        <f t="shared" ca="1" si="5"/>
        <v/>
      </c>
      <c r="C29" s="168" t="str">
        <f t="shared" ca="1" si="6"/>
        <v/>
      </c>
      <c r="D29" s="409">
        <f t="shared" ca="1" si="7"/>
        <v>0</v>
      </c>
      <c r="E29" s="410" t="str">
        <f t="shared" ca="1" si="8"/>
        <v/>
      </c>
      <c r="F29" s="411">
        <f t="shared" ca="1" si="4"/>
        <v>0</v>
      </c>
      <c r="G29" s="411">
        <f t="shared" ca="1" si="9"/>
        <v>0</v>
      </c>
    </row>
    <row r="30" spans="1:7" ht="30" customHeight="1" x14ac:dyDescent="0.2">
      <c r="A30" s="56">
        <f ca="1">INDIRECT("Datos!B"&amp;MATCH("RUBRO ITEM",Datos!B:B,0)+ROW()-MATCH("RUBRO ITEM",A:A,0)-1)</f>
        <v>0</v>
      </c>
      <c r="B30" s="408" t="str">
        <f t="shared" ca="1" si="5"/>
        <v/>
      </c>
      <c r="C30" s="168" t="str">
        <f t="shared" ca="1" si="6"/>
        <v/>
      </c>
      <c r="D30" s="409">
        <f t="shared" ca="1" si="7"/>
        <v>0</v>
      </c>
      <c r="E30" s="410" t="str">
        <f t="shared" ca="1" si="8"/>
        <v/>
      </c>
      <c r="F30" s="411">
        <f t="shared" ca="1" si="4"/>
        <v>0</v>
      </c>
      <c r="G30" s="411">
        <f t="shared" ca="1" si="9"/>
        <v>0</v>
      </c>
    </row>
    <row r="31" spans="1:7" ht="30" customHeight="1" x14ac:dyDescent="0.2">
      <c r="A31" s="56">
        <f ca="1">INDIRECT("Datos!B"&amp;MATCH("RUBRO ITEM",Datos!B:B,0)+ROW()-MATCH("RUBRO ITEM",A:A,0)-1)</f>
        <v>0</v>
      </c>
      <c r="B31" s="408" t="str">
        <f t="shared" ca="1" si="5"/>
        <v/>
      </c>
      <c r="C31" s="168" t="str">
        <f t="shared" ca="1" si="6"/>
        <v/>
      </c>
      <c r="D31" s="409">
        <f t="shared" ca="1" si="7"/>
        <v>0</v>
      </c>
      <c r="E31" s="410" t="str">
        <f t="shared" ca="1" si="8"/>
        <v/>
      </c>
      <c r="F31" s="411">
        <f t="shared" ca="1" si="4"/>
        <v>0</v>
      </c>
      <c r="G31" s="411">
        <f t="shared" ca="1" si="9"/>
        <v>0</v>
      </c>
    </row>
    <row r="32" spans="1:7" ht="30" customHeight="1" x14ac:dyDescent="0.2">
      <c r="A32" s="56">
        <f ca="1">INDIRECT("Datos!B"&amp;MATCH("RUBRO ITEM",Datos!B:B,0)+ROW()-MATCH("RUBRO ITEM",A:A,0)-1)</f>
        <v>0</v>
      </c>
      <c r="B32" s="408" t="str">
        <f t="shared" ca="1" si="5"/>
        <v/>
      </c>
      <c r="C32" s="168" t="str">
        <f t="shared" ca="1" si="6"/>
        <v/>
      </c>
      <c r="D32" s="409">
        <f t="shared" ca="1" si="7"/>
        <v>0</v>
      </c>
      <c r="E32" s="410" t="str">
        <f t="shared" ca="1" si="8"/>
        <v/>
      </c>
      <c r="F32" s="411">
        <f t="shared" ca="1" si="4"/>
        <v>0</v>
      </c>
      <c r="G32" s="411">
        <f t="shared" ca="1" si="9"/>
        <v>0</v>
      </c>
    </row>
    <row r="33" spans="1:7" ht="30" customHeight="1" x14ac:dyDescent="0.2">
      <c r="A33" s="56">
        <f ca="1">INDIRECT("Datos!B"&amp;MATCH("RUBRO ITEM",Datos!B:B,0)+ROW()-MATCH("RUBRO ITEM",A:A,0)-1)</f>
        <v>0</v>
      </c>
      <c r="B33" s="408" t="str">
        <f t="shared" ca="1" si="5"/>
        <v/>
      </c>
      <c r="C33" s="168" t="str">
        <f t="shared" ca="1" si="6"/>
        <v/>
      </c>
      <c r="D33" s="409">
        <f t="shared" ca="1" si="7"/>
        <v>0</v>
      </c>
      <c r="E33" s="410" t="str">
        <f t="shared" ca="1" si="8"/>
        <v/>
      </c>
      <c r="F33" s="411">
        <f t="shared" ca="1" si="4"/>
        <v>0</v>
      </c>
      <c r="G33" s="411">
        <f t="shared" ca="1" si="9"/>
        <v>0</v>
      </c>
    </row>
    <row r="34" spans="1:7" ht="30" customHeight="1" x14ac:dyDescent="0.2">
      <c r="A34" s="56">
        <f ca="1">INDIRECT("Datos!B"&amp;MATCH("RUBRO ITEM",Datos!B:B,0)+ROW()-MATCH("RUBRO ITEM",A:A,0)-1)</f>
        <v>0</v>
      </c>
      <c r="B34" s="408" t="str">
        <f t="shared" ca="1" si="5"/>
        <v/>
      </c>
      <c r="C34" s="168" t="str">
        <f t="shared" ca="1" si="6"/>
        <v/>
      </c>
      <c r="D34" s="409">
        <f t="shared" ca="1" si="7"/>
        <v>0</v>
      </c>
      <c r="E34" s="410" t="str">
        <f t="shared" ca="1" si="8"/>
        <v/>
      </c>
      <c r="F34" s="411">
        <f t="shared" ca="1" si="4"/>
        <v>0</v>
      </c>
      <c r="G34" s="411">
        <f t="shared" ca="1" si="9"/>
        <v>0</v>
      </c>
    </row>
    <row r="35" spans="1:7" ht="30" customHeight="1" x14ac:dyDescent="0.2">
      <c r="A35" s="56">
        <f ca="1">INDIRECT("Datos!B"&amp;MATCH("RUBRO ITEM",Datos!B:B,0)+ROW()-MATCH("RUBRO ITEM",A:A,0)-1)</f>
        <v>0</v>
      </c>
      <c r="B35" s="408" t="str">
        <f t="shared" ca="1" si="5"/>
        <v/>
      </c>
      <c r="C35" s="168" t="str">
        <f t="shared" ca="1" si="6"/>
        <v/>
      </c>
      <c r="D35" s="409">
        <f t="shared" ca="1" si="7"/>
        <v>0</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5" t="s">
        <v>990</v>
      </c>
      <c r="C167" s="695"/>
      <c r="D167" s="695"/>
      <c r="E167" s="695"/>
      <c r="F167" s="418"/>
      <c r="G167" s="172">
        <f ca="1">ROUND(SUM(G16:G166),2)</f>
        <v>0</v>
      </c>
    </row>
    <row r="168" spans="1:7" ht="19.5" customHeight="1" x14ac:dyDescent="0.2">
      <c r="A168" s="173" t="s">
        <v>3</v>
      </c>
      <c r="F168" s="174"/>
    </row>
    <row r="169" spans="1:7" ht="37.5" customHeight="1" x14ac:dyDescent="0.2">
      <c r="A169" s="699" t="str">
        <f ca="1">IF(Monto_Oferta=0,"IMPORTA LA PRESENTE PROPUESTA EN LA SUMA DE: _____________________","IMPORTA LA PRESENTE PROPUESTA EN LA SUMA DE: "&amp;CONVERTIRNUM(Monto_Oferta))</f>
        <v>IMPORTA LA PRESENTE PROPUESTA EN LA SUMA DE: _____________________</v>
      </c>
      <c r="B169" s="699"/>
      <c r="C169" s="699"/>
      <c r="D169" s="699"/>
      <c r="E169" s="699"/>
      <c r="F169" s="699"/>
      <c r="G169" s="699"/>
    </row>
    <row r="170" spans="1:7" ht="19.5" customHeight="1" x14ac:dyDescent="0.2">
      <c r="A170" s="175"/>
    </row>
    <row r="171" spans="1:7" ht="19.5" customHeight="1" x14ac:dyDescent="0.2">
      <c r="B171" s="696" t="s">
        <v>996</v>
      </c>
      <c r="C171" s="696"/>
      <c r="D171" s="696"/>
      <c r="E171" s="696"/>
      <c r="F171" s="696"/>
      <c r="G171" s="696"/>
    </row>
    <row r="172" spans="1:7" ht="19.5" customHeight="1" x14ac:dyDescent="0.2">
      <c r="B172" s="696" t="s">
        <v>991</v>
      </c>
      <c r="C172" s="696"/>
      <c r="D172" s="696"/>
      <c r="E172" s="696"/>
      <c r="F172" s="696"/>
      <c r="G172" s="696"/>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995</v>
      </c>
    </row>
    <row r="182" spans="1:1" ht="19.5" customHeight="1" x14ac:dyDescent="0.2">
      <c r="A182" s="177"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G3" sqref="G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8</v>
      </c>
      <c r="B1" s="112"/>
      <c r="C1" s="112" t="str">
        <f>Comitente</f>
        <v>DIRECCIÓN PROVINCIAL DE VIALIDAD</v>
      </c>
      <c r="D1" s="112"/>
      <c r="E1" s="112"/>
      <c r="F1" s="112"/>
      <c r="G1" s="112"/>
      <c r="I1" s="114"/>
    </row>
    <row r="2" spans="1:9" s="84" customFormat="1" ht="20.100000000000001" customHeight="1" x14ac:dyDescent="0.2">
      <c r="A2" s="115" t="s">
        <v>9</v>
      </c>
      <c r="B2" s="115"/>
      <c r="C2" s="112" t="str">
        <f>Obra</f>
        <v>OBRA BÁSICA Y PAVIMENTACIÓN CALLE GÜEMES</v>
      </c>
      <c r="D2" s="116"/>
      <c r="E2" s="116"/>
      <c r="F2" s="116"/>
      <c r="G2" s="116"/>
      <c r="I2" s="116"/>
    </row>
    <row r="3" spans="1:9" s="84" customFormat="1" ht="20.100000000000001" customHeight="1" x14ac:dyDescent="0.2">
      <c r="A3" s="115" t="s">
        <v>13</v>
      </c>
      <c r="B3" s="115"/>
      <c r="C3" s="117" t="str">
        <f>Ubicación</f>
        <v>Rawson - Santa Lucia</v>
      </c>
      <c r="D3" s="117"/>
      <c r="E3" s="117"/>
      <c r="F3" s="117"/>
      <c r="G3" s="117"/>
      <c r="I3" s="117"/>
    </row>
    <row r="4" spans="1:9" s="84" customFormat="1" ht="20.100000000000001" customHeight="1" x14ac:dyDescent="0.2">
      <c r="A4" s="115" t="s">
        <v>12</v>
      </c>
      <c r="B4" s="118"/>
      <c r="C4" s="119">
        <f>Licitación_N°</f>
        <v>0</v>
      </c>
    </row>
    <row r="5" spans="1:9" s="84" customFormat="1" ht="20.100000000000001" customHeight="1" x14ac:dyDescent="0.2">
      <c r="A5" s="115" t="s">
        <v>30</v>
      </c>
      <c r="B5" s="118"/>
      <c r="C5" s="120">
        <f>Expediente_N°</f>
        <v>0</v>
      </c>
    </row>
    <row r="6" spans="1:9" s="84" customFormat="1" ht="20.100000000000001" customHeight="1" x14ac:dyDescent="0.2">
      <c r="A6" s="115" t="s">
        <v>15</v>
      </c>
      <c r="B6" s="118"/>
      <c r="C6" s="121">
        <f>P_Oficial</f>
        <v>37125000</v>
      </c>
    </row>
    <row r="7" spans="1:9" s="84" customFormat="1" ht="20.100000000000001" customHeight="1" x14ac:dyDescent="0.2">
      <c r="A7" s="115" t="s">
        <v>893</v>
      </c>
      <c r="B7" s="118"/>
      <c r="C7" s="122">
        <f>Anticipo_Financiero</f>
        <v>0</v>
      </c>
      <c r="F7" s="84" t="e">
        <f ca="1">INDIRECT("Datos!"&amp;MATCH("RUBRO ITEM",Datos!C:C,0)+2)</f>
        <v>#N/A</v>
      </c>
    </row>
    <row r="8" spans="1:9" s="84" customFormat="1" ht="20.100000000000001" customHeight="1" x14ac:dyDescent="0.2">
      <c r="A8" s="115" t="s">
        <v>892</v>
      </c>
      <c r="B8" s="118"/>
      <c r="C8" s="123">
        <f>Fecha_Base</f>
        <v>0</v>
      </c>
    </row>
    <row r="9" spans="1:9" s="84" customFormat="1" ht="20.100000000000001" customHeight="1" x14ac:dyDescent="0.2">
      <c r="A9" s="115" t="s">
        <v>14</v>
      </c>
      <c r="B9" s="118"/>
      <c r="C9" s="124" t="str">
        <f>Plazo_Obra</f>
        <v>180 días corridos</v>
      </c>
    </row>
    <row r="10" spans="1:9" s="84" customFormat="1" ht="20.100000000000001" customHeight="1" x14ac:dyDescent="0.2">
      <c r="A10" s="115" t="s">
        <v>10</v>
      </c>
      <c r="B10" s="118"/>
      <c r="C10" s="115">
        <f>Contratista</f>
        <v>0</v>
      </c>
      <c r="F10" s="84" t="e">
        <f>MATCH("RUBRO ITEM",Datos!C:C,0)</f>
        <v>#N/A</v>
      </c>
    </row>
    <row r="11" spans="1:9" s="84" customFormat="1" ht="20.100000000000001" customHeight="1" x14ac:dyDescent="0.2">
      <c r="A11" s="115" t="s">
        <v>41</v>
      </c>
      <c r="B11" s="118"/>
      <c r="C11" s="125">
        <f ca="1">Monto_Oferta</f>
        <v>0</v>
      </c>
    </row>
    <row r="12" spans="1:9" ht="20.100000000000001" customHeight="1" x14ac:dyDescent="0.2"/>
    <row r="13" spans="1:9" ht="20.100000000000001" customHeight="1" x14ac:dyDescent="0.2">
      <c r="A13" s="126" t="s">
        <v>40</v>
      </c>
      <c r="B13" s="127"/>
      <c r="C13" s="127"/>
      <c r="D13" s="127"/>
      <c r="E13" s="127"/>
      <c r="F13" s="127"/>
      <c r="G13" s="127"/>
      <c r="H13" s="128"/>
      <c r="I13" s="129"/>
    </row>
    <row r="14" spans="1:9" ht="20.100000000000001" customHeight="1" x14ac:dyDescent="0.2"/>
    <row r="15" spans="1:9" ht="42.75" customHeight="1" x14ac:dyDescent="0.2">
      <c r="A15" s="465" t="s">
        <v>894</v>
      </c>
      <c r="B15" s="703" t="s">
        <v>0</v>
      </c>
      <c r="C15" s="704"/>
      <c r="D15" s="465" t="s">
        <v>1</v>
      </c>
      <c r="E15" s="465" t="s">
        <v>2</v>
      </c>
      <c r="F15" s="463" t="s">
        <v>959</v>
      </c>
      <c r="G15" s="463" t="s">
        <v>960</v>
      </c>
      <c r="H15" s="463" t="s">
        <v>938</v>
      </c>
      <c r="I15" s="463" t="s">
        <v>11</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Desbosque, destronque y limpieza del terreno</v>
      </c>
      <c r="C17" s="131"/>
      <c r="D17" s="132" t="str">
        <f t="shared" ref="D17:D165" ca="1" si="1">IFERROR(VLOOKUP(A17,T_Datos,3,FALSE),"")</f>
        <v>Ha</v>
      </c>
      <c r="E17" s="133">
        <f t="shared" ref="E17:E164" ca="1" si="2">IFERROR(VLOOKUP(A17,T_Datos,4,FALSE),0)</f>
        <v>1.54</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Extracción de Arboles  y Tocones (diam.&gt;0,60 m y &lt;1,00 m)</v>
      </c>
      <c r="C18" s="131"/>
      <c r="D18" s="132" t="str">
        <f t="shared" ca="1" si="1"/>
        <v>Un.</v>
      </c>
      <c r="E18" s="133">
        <f t="shared" ca="1" si="2"/>
        <v>4</v>
      </c>
      <c r="F18" s="453">
        <f t="shared" ref="F18:F165" ca="1" si="5">IFERROR(VLOOKUP(A18,T_Analisis_Precios,7,FALSE),0)</f>
        <v>0</v>
      </c>
      <c r="G18" s="541">
        <f t="shared" ref="G18:G165" ca="1" si="6">ROUND(F18*Coeficiente_Paso,2)</f>
        <v>0</v>
      </c>
      <c r="H18" s="541">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Excavación No Clasificada</v>
      </c>
      <c r="C19" s="131"/>
      <c r="D19" s="132" t="str">
        <f t="shared" ca="1" si="1"/>
        <v>m3</v>
      </c>
      <c r="E19" s="133">
        <f t="shared" ca="1" si="2"/>
        <v>129.06</v>
      </c>
      <c r="F19" s="453">
        <f t="shared" ca="1" si="5"/>
        <v>0</v>
      </c>
      <c r="G19" s="541">
        <f t="shared" ca="1" si="6"/>
        <v>0</v>
      </c>
      <c r="H19" s="541">
        <f t="shared" ca="1" si="7"/>
        <v>0</v>
      </c>
      <c r="I19" s="135">
        <f t="shared" ca="1" si="8"/>
        <v>0</v>
      </c>
    </row>
    <row r="20" spans="1:9" ht="20.100000000000001" customHeight="1" x14ac:dyDescent="0.2">
      <c r="A20" s="111">
        <f ca="1">INDIRECT("Datos!B"&amp;MATCH("RUBRO ITEM",Datos!B:B,0)+ROW()-MATCH("RUBRO ITEM",A:A,0))</f>
        <v>4</v>
      </c>
      <c r="B20" s="71" t="str">
        <f t="shared" ca="1" si="0"/>
        <v>Construcción de Subbase Estabilizada Granular</v>
      </c>
      <c r="C20" s="131"/>
      <c r="D20" s="132" t="str">
        <f t="shared" ca="1" si="1"/>
        <v>m3</v>
      </c>
      <c r="E20" s="133">
        <f t="shared" ca="1" si="2"/>
        <v>11123.88</v>
      </c>
      <c r="F20" s="453">
        <f t="shared" ca="1" si="5"/>
        <v>0</v>
      </c>
      <c r="G20" s="541">
        <f t="shared" ca="1" si="6"/>
        <v>0</v>
      </c>
      <c r="H20" s="541">
        <f t="shared" ca="1" si="7"/>
        <v>0</v>
      </c>
      <c r="I20" s="135">
        <f t="shared" ca="1" si="8"/>
        <v>0</v>
      </c>
    </row>
    <row r="21" spans="1:9" ht="20.100000000000001" customHeight="1" x14ac:dyDescent="0.2">
      <c r="A21" s="111">
        <f ca="1">INDIRECT("Datos!B"&amp;MATCH("RUBRO ITEM",Datos!B:B,0)+ROW()-MATCH("RUBRO ITEM",A:A,0))</f>
        <v>5</v>
      </c>
      <c r="B21" s="71" t="str">
        <f t="shared" ca="1" si="0"/>
        <v>Construcción de Base Estabilizada Granular</v>
      </c>
      <c r="C21" s="131"/>
      <c r="D21" s="132" t="str">
        <f t="shared" ca="1" si="1"/>
        <v>m3</v>
      </c>
      <c r="E21" s="133">
        <f t="shared" ca="1" si="2"/>
        <v>2310.87</v>
      </c>
      <c r="F21" s="453">
        <f t="shared" ca="1" si="5"/>
        <v>0</v>
      </c>
      <c r="G21" s="541">
        <f t="shared" ca="1" si="6"/>
        <v>0</v>
      </c>
      <c r="H21" s="541">
        <f t="shared" ca="1" si="7"/>
        <v>0</v>
      </c>
      <c r="I21" s="135">
        <f t="shared" ca="1" si="8"/>
        <v>0</v>
      </c>
    </row>
    <row r="22" spans="1:9" ht="20.100000000000001" customHeight="1" x14ac:dyDescent="0.2">
      <c r="A22" s="111">
        <f ca="1">INDIRECT("Datos!B"&amp;MATCH("RUBRO ITEM",Datos!B:B,0)+ROW()-MATCH("RUBRO ITEM",A:A,0))</f>
        <v>6</v>
      </c>
      <c r="B22" s="71" t="str">
        <f t="shared" ca="1" si="0"/>
        <v>Cumplimiento Manejo Ambiental</v>
      </c>
      <c r="C22" s="131"/>
      <c r="D22" s="132" t="str">
        <f t="shared" ca="1" si="1"/>
        <v>mes</v>
      </c>
      <c r="E22" s="133">
        <f t="shared" ca="1" si="2"/>
        <v>6</v>
      </c>
      <c r="F22" s="453">
        <f t="shared" ca="1" si="5"/>
        <v>0</v>
      </c>
      <c r="G22" s="541">
        <f t="shared" ca="1" si="6"/>
        <v>0</v>
      </c>
      <c r="H22" s="541">
        <f t="shared" ca="1" si="7"/>
        <v>0</v>
      </c>
      <c r="I22" s="135">
        <f t="shared" ca="1" si="8"/>
        <v>0</v>
      </c>
    </row>
    <row r="23" spans="1:9" ht="20.100000000000001" customHeight="1" x14ac:dyDescent="0.2">
      <c r="A23" s="111">
        <f ca="1">INDIRECT("Datos!B"&amp;MATCH("RUBRO ITEM",Datos!B:B,0)+ROW()-MATCH("RUBRO ITEM",A:A,0))</f>
        <v>7</v>
      </c>
      <c r="B23" s="71" t="str">
        <f t="shared" ca="1" si="0"/>
        <v xml:space="preserve">Movilidad Para el Personal de la Dirección Provincial de Vialidad </v>
      </c>
      <c r="C23" s="131"/>
      <c r="D23" s="132" t="str">
        <f t="shared" ca="1" si="1"/>
        <v>-</v>
      </c>
      <c r="E23" s="133">
        <f t="shared" ca="1" si="2"/>
        <v>0</v>
      </c>
      <c r="F23" s="453">
        <f t="shared" ca="1" si="5"/>
        <v>0</v>
      </c>
      <c r="G23" s="541">
        <f t="shared" ca="1" si="6"/>
        <v>0</v>
      </c>
      <c r="H23" s="541">
        <f t="shared" ca="1" si="7"/>
        <v>0</v>
      </c>
      <c r="I23" s="135">
        <f t="shared" ca="1" si="8"/>
        <v>0</v>
      </c>
    </row>
    <row r="24" spans="1:9" ht="20.100000000000001" customHeight="1" x14ac:dyDescent="0.2">
      <c r="A24" s="111" t="str">
        <f ca="1">INDIRECT("Datos!B"&amp;MATCH("RUBRO ITEM",Datos!B:B,0)+ROW()-MATCH("RUBRO ITEM",A:A,0))</f>
        <v>7.1</v>
      </c>
      <c r="B24" s="71" t="str">
        <f t="shared" ca="1" si="0"/>
        <v>A) - Cuota Mensual</v>
      </c>
      <c r="C24" s="131"/>
      <c r="D24" s="132" t="str">
        <f t="shared" ca="1" si="1"/>
        <v>mes</v>
      </c>
      <c r="E24" s="133">
        <f t="shared" ca="1" si="2"/>
        <v>6</v>
      </c>
      <c r="F24" s="453">
        <f t="shared" ca="1" si="5"/>
        <v>0</v>
      </c>
      <c r="G24" s="541">
        <f t="shared" ca="1" si="6"/>
        <v>0</v>
      </c>
      <c r="H24" s="541">
        <f t="shared" ca="1" si="7"/>
        <v>0</v>
      </c>
      <c r="I24" s="135">
        <f t="shared" ca="1" si="8"/>
        <v>0</v>
      </c>
    </row>
    <row r="25" spans="1:9" ht="20.100000000000001" customHeight="1" x14ac:dyDescent="0.2">
      <c r="A25" s="111" t="str">
        <f ca="1">INDIRECT("Datos!B"&amp;MATCH("RUBRO ITEM",Datos!B:B,0)+ROW()-MATCH("RUBRO ITEM",A:A,0))</f>
        <v>7.2</v>
      </c>
      <c r="B25" s="71" t="str">
        <f t="shared" ca="1" si="0"/>
        <v>B)- Adicional por Km.</v>
      </c>
      <c r="C25" s="131"/>
      <c r="D25" s="132" t="str">
        <f t="shared" ca="1" si="1"/>
        <v>Km.</v>
      </c>
      <c r="E25" s="133">
        <f t="shared" ca="1" si="2"/>
        <v>1020</v>
      </c>
      <c r="F25" s="453">
        <f t="shared" ca="1" si="5"/>
        <v>0</v>
      </c>
      <c r="G25" s="541">
        <f t="shared" ca="1" si="6"/>
        <v>0</v>
      </c>
      <c r="H25" s="541">
        <f t="shared" ca="1" si="7"/>
        <v>0</v>
      </c>
      <c r="I25" s="135">
        <f t="shared" ca="1" si="8"/>
        <v>0</v>
      </c>
    </row>
    <row r="26" spans="1:9" ht="20.100000000000001" customHeight="1" x14ac:dyDescent="0.2">
      <c r="A26" s="111">
        <f ca="1">INDIRECT("Datos!B"&amp;MATCH("RUBRO ITEM",Datos!B:B,0)+ROW()-MATCH("RUBRO ITEM",A:A,0))</f>
        <v>8</v>
      </c>
      <c r="B26" s="71" t="str">
        <f t="shared" ca="1" si="0"/>
        <v>Movilización de Obra</v>
      </c>
      <c r="C26" s="131"/>
      <c r="D26" s="132" t="str">
        <f t="shared" ca="1" si="1"/>
        <v>gl</v>
      </c>
      <c r="E26" s="133">
        <f t="shared" ca="1" si="2"/>
        <v>1</v>
      </c>
      <c r="F26" s="453">
        <f t="shared" ca="1" si="5"/>
        <v>0</v>
      </c>
      <c r="G26" s="541">
        <f t="shared" ca="1" si="6"/>
        <v>0</v>
      </c>
      <c r="H26" s="541">
        <f t="shared" ca="1" si="7"/>
        <v>0</v>
      </c>
      <c r="I26" s="135">
        <f t="shared" ca="1" si="8"/>
        <v>0</v>
      </c>
    </row>
    <row r="27" spans="1:9" ht="20.100000000000001" customHeight="1" x14ac:dyDescent="0.2">
      <c r="A27" s="111">
        <f ca="1">INDIRECT("Datos!B"&amp;MATCH("RUBRO ITEM",Datos!B:B,0)+ROW()-MATCH("RUBRO ITEM",A:A,0))</f>
        <v>0</v>
      </c>
      <c r="B27" s="71" t="str">
        <f t="shared" ca="1" si="0"/>
        <v/>
      </c>
      <c r="C27" s="131"/>
      <c r="D27" s="132" t="str">
        <f t="shared" ca="1" si="1"/>
        <v/>
      </c>
      <c r="E27" s="133">
        <f t="shared" ca="1" si="2"/>
        <v>0</v>
      </c>
      <c r="F27" s="453">
        <f t="shared" ca="1" si="5"/>
        <v>0</v>
      </c>
      <c r="G27" s="541">
        <f t="shared" ca="1" si="6"/>
        <v>0</v>
      </c>
      <c r="H27" s="541">
        <f t="shared" ca="1" si="7"/>
        <v>0</v>
      </c>
      <c r="I27" s="135">
        <f t="shared" ca="1" si="8"/>
        <v>0</v>
      </c>
    </row>
    <row r="28" spans="1:9" ht="20.100000000000001" customHeight="1" x14ac:dyDescent="0.2">
      <c r="A28" s="111">
        <f ca="1">INDIRECT("Datos!B"&amp;MATCH("RUBRO ITEM",Datos!B:B,0)+ROW()-MATCH("RUBRO ITEM",A:A,0))</f>
        <v>0</v>
      </c>
      <c r="B28" s="71" t="str">
        <f t="shared" ca="1" si="0"/>
        <v/>
      </c>
      <c r="C28" s="131"/>
      <c r="D28" s="132" t="str">
        <f t="shared" ca="1" si="1"/>
        <v/>
      </c>
      <c r="E28" s="133">
        <f t="shared" ca="1" si="2"/>
        <v>0</v>
      </c>
      <c r="F28" s="134">
        <f t="shared" ca="1" si="5"/>
        <v>0</v>
      </c>
      <c r="G28" s="541">
        <f t="shared" ca="1" si="6"/>
        <v>0</v>
      </c>
      <c r="H28" s="541">
        <f t="shared" ca="1" si="7"/>
        <v>0</v>
      </c>
      <c r="I28" s="135">
        <f t="shared" ca="1" si="8"/>
        <v>0</v>
      </c>
    </row>
    <row r="29" spans="1:9" ht="20.100000000000001" customHeight="1" x14ac:dyDescent="0.2">
      <c r="A29" s="111">
        <f ca="1">INDIRECT("Datos!B"&amp;MATCH("RUBRO ITEM",Datos!B:B,0)+ROW()-MATCH("RUBRO ITEM",A:A,0))</f>
        <v>0</v>
      </c>
      <c r="B29" s="71" t="str">
        <f t="shared" ca="1" si="0"/>
        <v/>
      </c>
      <c r="C29" s="131"/>
      <c r="D29" s="132" t="str">
        <f t="shared" ca="1" si="1"/>
        <v/>
      </c>
      <c r="E29" s="133">
        <f t="shared" ca="1" si="2"/>
        <v>0</v>
      </c>
      <c r="F29" s="134">
        <f t="shared" ca="1" si="5"/>
        <v>0</v>
      </c>
      <c r="G29" s="541">
        <f t="shared" ca="1" si="6"/>
        <v>0</v>
      </c>
      <c r="H29" s="541">
        <f t="shared" ca="1" si="7"/>
        <v>0</v>
      </c>
      <c r="I29" s="135">
        <f t="shared" ca="1" si="8"/>
        <v>0</v>
      </c>
    </row>
    <row r="30" spans="1:9" ht="20.100000000000001" customHeight="1" x14ac:dyDescent="0.2">
      <c r="A30" s="111">
        <f ca="1">INDIRECT("Datos!B"&amp;MATCH("RUBRO ITEM",Datos!B:B,0)+ROW()-MATCH("RUBRO ITEM",A:A,0))</f>
        <v>0</v>
      </c>
      <c r="B30" s="71" t="str">
        <f t="shared" ca="1" si="0"/>
        <v/>
      </c>
      <c r="C30" s="131"/>
      <c r="D30" s="132" t="str">
        <f t="shared" ca="1" si="1"/>
        <v/>
      </c>
      <c r="E30" s="133">
        <f t="shared" ca="1" si="2"/>
        <v>0</v>
      </c>
      <c r="F30" s="134">
        <f t="shared" ca="1" si="5"/>
        <v>0</v>
      </c>
      <c r="G30" s="541">
        <f t="shared" ca="1" si="6"/>
        <v>0</v>
      </c>
      <c r="H30" s="541">
        <f t="shared" ca="1" si="7"/>
        <v>0</v>
      </c>
      <c r="I30" s="135">
        <f t="shared" ca="1" si="8"/>
        <v>0</v>
      </c>
    </row>
    <row r="31" spans="1:9" ht="20.100000000000001" customHeight="1" x14ac:dyDescent="0.2">
      <c r="A31" s="111">
        <f ca="1">INDIRECT("Datos!B"&amp;MATCH("RUBRO ITEM",Datos!B:B,0)+ROW()-MATCH("RUBRO ITEM",A:A,0))</f>
        <v>0</v>
      </c>
      <c r="B31" s="71" t="str">
        <f t="shared" ca="1" si="0"/>
        <v/>
      </c>
      <c r="C31" s="131"/>
      <c r="D31" s="132" t="str">
        <f t="shared" ca="1" si="1"/>
        <v/>
      </c>
      <c r="E31" s="133">
        <f t="shared" ca="1" si="2"/>
        <v>0</v>
      </c>
      <c r="F31" s="134">
        <f t="shared" ca="1" si="5"/>
        <v>0</v>
      </c>
      <c r="G31" s="541">
        <f t="shared" ca="1" si="6"/>
        <v>0</v>
      </c>
      <c r="H31" s="541">
        <f t="shared" ca="1" si="7"/>
        <v>0</v>
      </c>
      <c r="I31" s="135">
        <f t="shared" ca="1" si="8"/>
        <v>0</v>
      </c>
    </row>
    <row r="32" spans="1:9" ht="20.100000000000001" customHeight="1" x14ac:dyDescent="0.2">
      <c r="A32" s="111">
        <f ca="1">INDIRECT("Datos!B"&amp;MATCH("RUBRO ITEM",Datos!B:B,0)+ROW()-MATCH("RUBRO ITEM",A:A,0))</f>
        <v>0</v>
      </c>
      <c r="B32" s="71" t="str">
        <f t="shared" ref="B32:B85" ca="1" si="9">IFERROR(VLOOKUP(A32,T_Datos,2,FALSE),"")</f>
        <v/>
      </c>
      <c r="C32" s="131"/>
      <c r="D32" s="132" t="str">
        <f t="shared" ref="D32:D85" ca="1" si="10">IFERROR(VLOOKUP(A32,T_Datos,3,FALSE),"")</f>
        <v/>
      </c>
      <c r="E32" s="133">
        <f t="shared" ref="E32:E85" ca="1" si="11">IFERROR(VLOOKUP(A32,T_Datos,4,FALSE),0)</f>
        <v>0</v>
      </c>
      <c r="F32" s="453">
        <f t="shared" ref="F32:F85" ca="1" si="12">IFERROR(VLOOKUP(A32,T_Analisis_Precios,7,FALSE),0)</f>
        <v>0</v>
      </c>
      <c r="G32" s="541">
        <f t="shared" ref="G32:G85" ca="1" si="13">ROUND(F32*Coeficiente_Paso,2)</f>
        <v>0</v>
      </c>
      <c r="H32" s="541">
        <f t="shared" ref="H32:H85" ca="1" si="14">ROUND(E32*G32,2)</f>
        <v>0</v>
      </c>
      <c r="I32" s="135">
        <f t="shared" ref="I32:I85" ca="1" si="15">IFERROR(H32/Monto_Oferta,0)</f>
        <v>0</v>
      </c>
    </row>
    <row r="33" spans="1:9" ht="20.100000000000001" customHeight="1" x14ac:dyDescent="0.2">
      <c r="A33" s="111">
        <f ca="1">INDIRECT("Datos!B"&amp;MATCH("RUBRO ITEM",Datos!B:B,0)+ROW()-MATCH("RUBRO ITEM",A:A,0))</f>
        <v>0</v>
      </c>
      <c r="B33" s="71" t="str">
        <f t="shared" ca="1" si="9"/>
        <v/>
      </c>
      <c r="C33" s="131"/>
      <c r="D33" s="132" t="str">
        <f t="shared" ca="1" si="10"/>
        <v/>
      </c>
      <c r="E33" s="133">
        <f t="shared" ca="1" si="11"/>
        <v>0</v>
      </c>
      <c r="F33" s="453">
        <f t="shared" ca="1" si="12"/>
        <v>0</v>
      </c>
      <c r="G33" s="541">
        <f t="shared" ca="1" si="13"/>
        <v>0</v>
      </c>
      <c r="H33" s="541">
        <f t="shared" ca="1" si="14"/>
        <v>0</v>
      </c>
      <c r="I33" s="135">
        <f t="shared" ca="1" si="15"/>
        <v>0</v>
      </c>
    </row>
    <row r="34" spans="1:9" ht="20.100000000000001" customHeight="1" x14ac:dyDescent="0.2">
      <c r="A34" s="111">
        <f ca="1">INDIRECT("Datos!B"&amp;MATCH("RUBRO ITEM",Datos!B:B,0)+ROW()-MATCH("RUBRO ITEM",A:A,0))</f>
        <v>0</v>
      </c>
      <c r="B34" s="71" t="str">
        <f t="shared" ca="1" si="9"/>
        <v/>
      </c>
      <c r="C34" s="131"/>
      <c r="D34" s="132" t="str">
        <f t="shared" ca="1" si="10"/>
        <v/>
      </c>
      <c r="E34" s="133">
        <f t="shared" ca="1" si="11"/>
        <v>0</v>
      </c>
      <c r="F34" s="453">
        <f t="shared" ca="1" si="12"/>
        <v>0</v>
      </c>
      <c r="G34" s="541">
        <f t="shared" ca="1" si="13"/>
        <v>0</v>
      </c>
      <c r="H34" s="541">
        <f t="shared" ca="1" si="14"/>
        <v>0</v>
      </c>
      <c r="I34" s="135">
        <f t="shared" ca="1" si="15"/>
        <v>0</v>
      </c>
    </row>
    <row r="35" spans="1:9" ht="20.100000000000001" customHeight="1" x14ac:dyDescent="0.2">
      <c r="A35" s="111">
        <f ca="1">INDIRECT("Datos!B"&amp;MATCH("RUBRO ITEM",Datos!B:B,0)+ROW()-MATCH("RUBRO ITEM",A:A,0))</f>
        <v>0</v>
      </c>
      <c r="B35" s="71" t="str">
        <f t="shared" ca="1" si="9"/>
        <v/>
      </c>
      <c r="C35" s="131"/>
      <c r="D35" s="132" t="str">
        <f t="shared" ca="1" si="10"/>
        <v/>
      </c>
      <c r="E35" s="133">
        <f t="shared" ca="1" si="11"/>
        <v>0</v>
      </c>
      <c r="F35" s="453">
        <f t="shared" ca="1" si="12"/>
        <v>0</v>
      </c>
      <c r="G35" s="541">
        <f t="shared" ca="1" si="13"/>
        <v>0</v>
      </c>
      <c r="H35" s="541">
        <f t="shared" ca="1" si="14"/>
        <v>0</v>
      </c>
      <c r="I35" s="135">
        <f t="shared" ca="1" si="15"/>
        <v>0</v>
      </c>
    </row>
    <row r="36" spans="1:9" ht="20.100000000000001" customHeight="1" x14ac:dyDescent="0.2">
      <c r="A36" s="111">
        <f ca="1">INDIRECT("Datos!B"&amp;MATCH("RUBRO ITEM",Datos!B:B,0)+ROW()-MATCH("RUBRO ITEM",A:A,0))</f>
        <v>0</v>
      </c>
      <c r="B36" s="71" t="str">
        <f t="shared" ca="1" si="9"/>
        <v/>
      </c>
      <c r="C36" s="131"/>
      <c r="D36" s="132" t="str">
        <f t="shared" ca="1" si="10"/>
        <v/>
      </c>
      <c r="E36" s="133">
        <f t="shared" ca="1" si="11"/>
        <v>0</v>
      </c>
      <c r="F36" s="453">
        <f t="shared" ca="1" si="12"/>
        <v>0</v>
      </c>
      <c r="G36" s="541">
        <f t="shared" ca="1" si="13"/>
        <v>0</v>
      </c>
      <c r="H36" s="541">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f t="shared" ca="1" si="13"/>
        <v>0</v>
      </c>
      <c r="H37" s="541">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f t="shared" ca="1" si="13"/>
        <v>0</v>
      </c>
      <c r="H38" s="541">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f t="shared" ca="1" si="13"/>
        <v>0</v>
      </c>
      <c r="H39" s="541">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f t="shared" ca="1" si="13"/>
        <v>0</v>
      </c>
      <c r="H40" s="541">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f t="shared" ca="1" si="13"/>
        <v>0</v>
      </c>
      <c r="H41" s="541">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f t="shared" ca="1" si="13"/>
        <v>0</v>
      </c>
      <c r="H42" s="541">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f t="shared" ca="1" si="13"/>
        <v>0</v>
      </c>
      <c r="H43" s="541">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f t="shared" ca="1" si="13"/>
        <v>0</v>
      </c>
      <c r="H44" s="541">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f t="shared" ca="1" si="13"/>
        <v>0</v>
      </c>
      <c r="H45" s="541">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f t="shared" ca="1" si="13"/>
        <v>0</v>
      </c>
      <c r="H46" s="541">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f t="shared" ca="1" si="13"/>
        <v>0</v>
      </c>
      <c r="H47" s="541">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f t="shared" ca="1" si="13"/>
        <v>0</v>
      </c>
      <c r="H48" s="541">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f t="shared" ca="1" si="13"/>
        <v>0</v>
      </c>
      <c r="H49" s="541">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f t="shared" ca="1" si="13"/>
        <v>0</v>
      </c>
      <c r="H50" s="541">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f t="shared" ca="1" si="13"/>
        <v>0</v>
      </c>
      <c r="H51" s="541">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f t="shared" ca="1" si="13"/>
        <v>0</v>
      </c>
      <c r="H52" s="541">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f t="shared" ca="1" si="13"/>
        <v>0</v>
      </c>
      <c r="H53" s="541">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f t="shared" ca="1" si="13"/>
        <v>0</v>
      </c>
      <c r="H54" s="541">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f t="shared" ca="1" si="13"/>
        <v>0</v>
      </c>
      <c r="H55" s="541">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f t="shared" ca="1" si="13"/>
        <v>0</v>
      </c>
      <c r="H56" s="541">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f t="shared" ca="1" si="13"/>
        <v>0</v>
      </c>
      <c r="H57" s="541">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f t="shared" ca="1" si="13"/>
        <v>0</v>
      </c>
      <c r="H58" s="541">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f t="shared" ca="1" si="13"/>
        <v>0</v>
      </c>
      <c r="H59" s="541">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f t="shared" ca="1" si="13"/>
        <v>0</v>
      </c>
      <c r="H60" s="541">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f t="shared" ca="1" si="13"/>
        <v>0</v>
      </c>
      <c r="H61" s="541">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f t="shared" ca="1" si="13"/>
        <v>0</v>
      </c>
      <c r="H62" s="541">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f t="shared" ca="1" si="13"/>
        <v>0</v>
      </c>
      <c r="H63" s="541">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f t="shared" ca="1" si="13"/>
        <v>0</v>
      </c>
      <c r="H64" s="541">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f t="shared" ca="1" si="13"/>
        <v>0</v>
      </c>
      <c r="H65" s="541">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f t="shared" ca="1" si="13"/>
        <v>0</v>
      </c>
      <c r="H66" s="541">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f t="shared" ca="1" si="13"/>
        <v>0</v>
      </c>
      <c r="H67" s="541">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f t="shared" ca="1" si="13"/>
        <v>0</v>
      </c>
      <c r="H68" s="541">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f t="shared" ca="1" si="13"/>
        <v>0</v>
      </c>
      <c r="H69" s="541">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f t="shared" ca="1" si="13"/>
        <v>0</v>
      </c>
      <c r="H70" s="541">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f t="shared" ca="1" si="13"/>
        <v>0</v>
      </c>
      <c r="H71" s="541">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f t="shared" ca="1" si="13"/>
        <v>0</v>
      </c>
      <c r="H72" s="541">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f t="shared" ca="1" si="13"/>
        <v>0</v>
      </c>
      <c r="H73" s="541">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f t="shared" ca="1" si="13"/>
        <v>0</v>
      </c>
      <c r="H74" s="541">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f t="shared" ca="1" si="13"/>
        <v>0</v>
      </c>
      <c r="H75" s="541">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f t="shared" ca="1" si="13"/>
        <v>0</v>
      </c>
      <c r="H76" s="541">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f t="shared" ca="1" si="13"/>
        <v>0</v>
      </c>
      <c r="H77" s="541">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f t="shared" ca="1" si="13"/>
        <v>0</v>
      </c>
      <c r="H78" s="541">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f t="shared" ca="1" si="13"/>
        <v>0</v>
      </c>
      <c r="H79" s="541">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f t="shared" ca="1" si="13"/>
        <v>0</v>
      </c>
      <c r="H80" s="541">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f t="shared" ca="1" si="13"/>
        <v>0</v>
      </c>
      <c r="H81" s="541">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f t="shared" ca="1" si="13"/>
        <v>0</v>
      </c>
      <c r="H82" s="541">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f t="shared" ca="1" si="13"/>
        <v>0</v>
      </c>
      <c r="H83" s="541">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f t="shared" ca="1" si="13"/>
        <v>0</v>
      </c>
      <c r="H84" s="541">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f t="shared" ca="1" si="13"/>
        <v>0</v>
      </c>
      <c r="H85" s="541">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f t="shared" ca="1" si="6"/>
        <v>0</v>
      </c>
      <c r="H86" s="541">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f t="shared" ca="1" si="6"/>
        <v>0</v>
      </c>
      <c r="H87" s="541">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f t="shared" ca="1" si="6"/>
        <v>0</v>
      </c>
      <c r="H88" s="541">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f t="shared" ref="G89:G152" ca="1" si="20">ROUND(F89*Coeficiente_Paso,2)</f>
        <v>0</v>
      </c>
      <c r="H89" s="541">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f t="shared" ca="1" si="20"/>
        <v>0</v>
      </c>
      <c r="H90" s="541">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f t="shared" ca="1" si="20"/>
        <v>0</v>
      </c>
      <c r="H91" s="541">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f t="shared" ca="1" si="20"/>
        <v>0</v>
      </c>
      <c r="H92" s="541">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f t="shared" ca="1" si="20"/>
        <v>0</v>
      </c>
      <c r="H93" s="541">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f t="shared" ca="1" si="20"/>
        <v>0</v>
      </c>
      <c r="H94" s="541">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f t="shared" ca="1" si="20"/>
        <v>0</v>
      </c>
      <c r="H95" s="541">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f t="shared" ca="1" si="20"/>
        <v>0</v>
      </c>
      <c r="H96" s="541">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f t="shared" ca="1" si="20"/>
        <v>0</v>
      </c>
      <c r="H97" s="541">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f t="shared" ca="1" si="20"/>
        <v>0</v>
      </c>
      <c r="H98" s="541">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f t="shared" ca="1" si="20"/>
        <v>0</v>
      </c>
      <c r="H99" s="541">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f t="shared" ca="1" si="20"/>
        <v>0</v>
      </c>
      <c r="H100" s="541">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f t="shared" ca="1" si="20"/>
        <v>0</v>
      </c>
      <c r="H101" s="541">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f t="shared" ca="1" si="20"/>
        <v>0</v>
      </c>
      <c r="H102" s="541">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f t="shared" ca="1" si="20"/>
        <v>0</v>
      </c>
      <c r="H103" s="541">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f t="shared" ca="1" si="20"/>
        <v>0</v>
      </c>
      <c r="H104" s="541">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f t="shared" ca="1" si="20"/>
        <v>0</v>
      </c>
      <c r="H105" s="541">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f t="shared" ca="1" si="20"/>
        <v>0</v>
      </c>
      <c r="H106" s="541">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f t="shared" ca="1" si="20"/>
        <v>0</v>
      </c>
      <c r="H107" s="541">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f t="shared" ca="1" si="20"/>
        <v>0</v>
      </c>
      <c r="H108" s="541">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f t="shared" ca="1" si="20"/>
        <v>0</v>
      </c>
      <c r="H109" s="541">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f t="shared" ca="1" si="20"/>
        <v>0</v>
      </c>
      <c r="H110" s="541">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f t="shared" ca="1" si="20"/>
        <v>0</v>
      </c>
      <c r="H111" s="541">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f t="shared" ca="1" si="20"/>
        <v>0</v>
      </c>
      <c r="H112" s="541">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f t="shared" ca="1" si="20"/>
        <v>0</v>
      </c>
      <c r="H113" s="541">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f t="shared" ca="1" si="20"/>
        <v>0</v>
      </c>
      <c r="H114" s="541">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f t="shared" ca="1" si="20"/>
        <v>0</v>
      </c>
      <c r="H115" s="541">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f t="shared" ca="1" si="20"/>
        <v>0</v>
      </c>
      <c r="H116" s="541">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f t="shared" ca="1" si="20"/>
        <v>0</v>
      </c>
      <c r="H117" s="541">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f t="shared" ca="1" si="20"/>
        <v>0</v>
      </c>
      <c r="H118" s="541">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f t="shared" ca="1" si="20"/>
        <v>0</v>
      </c>
      <c r="H119" s="541">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f t="shared" ca="1" si="20"/>
        <v>0</v>
      </c>
      <c r="H120" s="541">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f t="shared" ca="1" si="20"/>
        <v>0</v>
      </c>
      <c r="H121" s="541">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f t="shared" ca="1" si="20"/>
        <v>0</v>
      </c>
      <c r="H122" s="541">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f t="shared" ca="1" si="20"/>
        <v>0</v>
      </c>
      <c r="H123" s="541">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f t="shared" ca="1" si="20"/>
        <v>0</v>
      </c>
      <c r="H124" s="541">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f t="shared" ca="1" si="20"/>
        <v>0</v>
      </c>
      <c r="H125" s="541">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f t="shared" ca="1" si="20"/>
        <v>0</v>
      </c>
      <c r="H126" s="541">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f t="shared" ca="1" si="20"/>
        <v>0</v>
      </c>
      <c r="H127" s="541">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f t="shared" ca="1" si="20"/>
        <v>0</v>
      </c>
      <c r="H128" s="541">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f t="shared" ca="1" si="20"/>
        <v>0</v>
      </c>
      <c r="H129" s="541">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f t="shared" ca="1" si="20"/>
        <v>0</v>
      </c>
      <c r="H130" s="541">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f t="shared" ca="1" si="20"/>
        <v>0</v>
      </c>
      <c r="H131" s="541">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f t="shared" ca="1" si="20"/>
        <v>0</v>
      </c>
      <c r="H132" s="541">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f t="shared" ca="1" si="20"/>
        <v>0</v>
      </c>
      <c r="H133" s="541">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f t="shared" ca="1" si="20"/>
        <v>0</v>
      </c>
      <c r="H134" s="541">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f t="shared" ca="1" si="20"/>
        <v>0</v>
      </c>
      <c r="H135" s="541">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f t="shared" ca="1" si="20"/>
        <v>0</v>
      </c>
      <c r="H136" s="541">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f t="shared" ca="1" si="20"/>
        <v>0</v>
      </c>
      <c r="H137" s="541">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f t="shared" ca="1" si="20"/>
        <v>0</v>
      </c>
      <c r="H138" s="541">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f t="shared" ca="1" si="20"/>
        <v>0</v>
      </c>
      <c r="H139" s="541">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f t="shared" ca="1" si="20"/>
        <v>0</v>
      </c>
      <c r="H140" s="541">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f t="shared" ca="1" si="20"/>
        <v>0</v>
      </c>
      <c r="H141" s="541">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f t="shared" ca="1" si="20"/>
        <v>0</v>
      </c>
      <c r="H142" s="541">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f t="shared" ca="1" si="20"/>
        <v>0</v>
      </c>
      <c r="H143" s="541">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f t="shared" ca="1" si="20"/>
        <v>0</v>
      </c>
      <c r="H144" s="541">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f t="shared" ca="1" si="20"/>
        <v>0</v>
      </c>
      <c r="H145" s="541">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f t="shared" ca="1" si="20"/>
        <v>0</v>
      </c>
      <c r="H146" s="541">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f t="shared" ca="1" si="20"/>
        <v>0</v>
      </c>
      <c r="H147" s="541">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f t="shared" ca="1" si="20"/>
        <v>0</v>
      </c>
      <c r="H148" s="541">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f t="shared" ca="1" si="20"/>
        <v>0</v>
      </c>
      <c r="H149" s="541">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f t="shared" ca="1" si="20"/>
        <v>0</v>
      </c>
      <c r="H150" s="541">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f t="shared" ca="1" si="20"/>
        <v>0</v>
      </c>
      <c r="H151" s="541">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f t="shared" ca="1" si="20"/>
        <v>0</v>
      </c>
      <c r="H152" s="541">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f t="shared" ref="G153:G163" ca="1" si="27">ROUND(F153*Coeficiente_Paso,2)</f>
        <v>0</v>
      </c>
      <c r="H153" s="541">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f t="shared" ca="1" si="27"/>
        <v>0</v>
      </c>
      <c r="H154" s="541">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f t="shared" ca="1" si="27"/>
        <v>0</v>
      </c>
      <c r="H155" s="541">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f t="shared" ca="1" si="27"/>
        <v>0</v>
      </c>
      <c r="H156" s="541">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f t="shared" ca="1" si="27"/>
        <v>0</v>
      </c>
      <c r="H157" s="541">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f t="shared" ca="1" si="27"/>
        <v>0</v>
      </c>
      <c r="H158" s="541">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f t="shared" ca="1" si="27"/>
        <v>0</v>
      </c>
      <c r="H159" s="541">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f t="shared" ca="1" si="27"/>
        <v>0</v>
      </c>
      <c r="H160" s="541">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f t="shared" ca="1" si="27"/>
        <v>0</v>
      </c>
      <c r="H161" s="541">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f t="shared" ca="1" si="27"/>
        <v>0</v>
      </c>
      <c r="H162" s="541">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f t="shared" ca="1" si="27"/>
        <v>0</v>
      </c>
      <c r="H163" s="541">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f t="shared" ca="1" si="6"/>
        <v>0</v>
      </c>
      <c r="H164" s="541">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f t="shared" ca="1" si="6"/>
        <v>0</v>
      </c>
      <c r="H165" s="541">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3</v>
      </c>
      <c r="B167" s="451" t="s">
        <v>1844</v>
      </c>
      <c r="C167" s="142"/>
      <c r="D167" s="142"/>
      <c r="E167" s="461" t="s">
        <v>965</v>
      </c>
      <c r="F167" s="452"/>
      <c r="G167" s="462">
        <v>0</v>
      </c>
      <c r="H167" s="373">
        <f ca="1">SUM(H17:H165)</f>
        <v>0</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895</v>
      </c>
      <c r="B169" s="504" t="s">
        <v>1859</v>
      </c>
      <c r="C169" s="504"/>
      <c r="D169" s="505"/>
      <c r="E169" s="544"/>
      <c r="F169" s="506"/>
      <c r="G169" s="544"/>
      <c r="H169" s="507">
        <f ca="1">ROUND(Monto_Oferta/Coeficiente_Paso,2)</f>
        <v>0</v>
      </c>
      <c r="I169" s="144"/>
    </row>
    <row r="170" spans="1:9" ht="20.100000000000001" customHeight="1" x14ac:dyDescent="0.2">
      <c r="A170" s="508" t="s">
        <v>896</v>
      </c>
      <c r="B170" s="148" t="str">
        <f>"COSTO FINANCIERO  "&amp;ROUND(Costo_Financiero*100,2)&amp;" % de ( 1 )"</f>
        <v>COSTO FINANCIERO  0 % de ( 1 )</v>
      </c>
      <c r="C170" s="148"/>
      <c r="D170" s="509"/>
      <c r="E170" s="545">
        <f>Costo_Financiero</f>
        <v>0</v>
      </c>
      <c r="F170" s="72"/>
      <c r="G170" s="73"/>
      <c r="H170" s="510">
        <f ca="1">ROUND(H169*Costo_Financiero,2)</f>
        <v>0</v>
      </c>
      <c r="I170" s="144"/>
    </row>
    <row r="171" spans="1:9" ht="20.100000000000001" customHeight="1" x14ac:dyDescent="0.2">
      <c r="A171" s="508" t="s">
        <v>897</v>
      </c>
      <c r="B171" s="148" t="s">
        <v>1860</v>
      </c>
      <c r="C171" s="148"/>
      <c r="D171" s="509"/>
      <c r="E171" s="73"/>
      <c r="F171" s="72"/>
      <c r="G171" s="73"/>
      <c r="H171" s="510">
        <f ca="1">H169+H170</f>
        <v>0</v>
      </c>
      <c r="I171" s="144"/>
    </row>
    <row r="172" spans="1:9" ht="20.100000000000001" customHeight="1" x14ac:dyDescent="0.2">
      <c r="A172" s="508" t="s">
        <v>898</v>
      </c>
      <c r="B172" s="145" t="str">
        <f>CONCATENATE("GASTOS GENERALES  ",ROUND(Gasto_Generales_Porcentaje,3)," % de ( 3 )")</f>
        <v>GASTOS GENERALES  0 % de ( 3 )</v>
      </c>
      <c r="C172" s="145"/>
      <c r="D172" s="146"/>
      <c r="E172" s="545">
        <f>Gasto_Generales_Porcentaje</f>
        <v>0</v>
      </c>
      <c r="F172" s="72"/>
      <c r="G172" s="73"/>
      <c r="H172" s="510">
        <f ca="1">ROUND(H171*E172,2)</f>
        <v>0</v>
      </c>
      <c r="I172" s="146"/>
    </row>
    <row r="173" spans="1:9" ht="20.100000000000001" customHeight="1" x14ac:dyDescent="0.2">
      <c r="A173" s="508" t="s">
        <v>899</v>
      </c>
      <c r="B173" s="145" t="str">
        <f>CONCATENATE("BENEFICIOS  ",ROUND(Beneficio*100,2)," % de ( 3 )")</f>
        <v>BENEFICIOS  0 % de ( 3 )</v>
      </c>
      <c r="C173" s="145"/>
      <c r="D173" s="146"/>
      <c r="E173" s="545">
        <f>Beneficio</f>
        <v>0</v>
      </c>
      <c r="F173" s="72"/>
      <c r="G173" s="73"/>
      <c r="H173" s="510">
        <f ca="1">ROUND(H171*Beneficio,2)</f>
        <v>0</v>
      </c>
      <c r="I173" s="146"/>
    </row>
    <row r="174" spans="1:9" ht="20.100000000000001" customHeight="1" x14ac:dyDescent="0.2">
      <c r="A174" s="508">
        <v>6</v>
      </c>
      <c r="B174" s="148" t="s">
        <v>1861</v>
      </c>
      <c r="C174" s="148"/>
      <c r="D174" s="146"/>
      <c r="E174" s="73"/>
      <c r="F174" s="72"/>
      <c r="G174" s="73"/>
      <c r="H174" s="510">
        <f ca="1">H171+H172+H173</f>
        <v>0</v>
      </c>
      <c r="I174" s="146"/>
    </row>
    <row r="175" spans="1:9" ht="20.100000000000001" customHeight="1" x14ac:dyDescent="0.2">
      <c r="A175" s="508" t="s">
        <v>1862</v>
      </c>
      <c r="B175" s="145" t="str">
        <f>CONCATENATE("INGRESOS BRUTOS Y LOTE HOGAR  ",ROUND(Ingresos_Brutos*100,2)," % de ( 6 )")</f>
        <v>INGRESOS BRUTOS Y LOTE HOGAR  0 % de ( 6 )</v>
      </c>
      <c r="C175" s="145"/>
      <c r="D175" s="146"/>
      <c r="E175" s="545">
        <f>Ingresos_Brutos</f>
        <v>0</v>
      </c>
      <c r="F175" s="72"/>
      <c r="G175" s="73"/>
      <c r="H175" s="510">
        <f ca="1">ROUND(Ingresos_Brutos*H174,2)</f>
        <v>0</v>
      </c>
      <c r="I175" s="146"/>
    </row>
    <row r="176" spans="1:9" ht="20.100000000000001" customHeight="1" x14ac:dyDescent="0.2">
      <c r="A176" s="511" t="s">
        <v>1863</v>
      </c>
      <c r="B176" s="512" t="str">
        <f>CONCATENATE("IMPUESTO AL VALOR AGREGADO ",IVA*100," % de ( 6 )")</f>
        <v>IMPUESTO AL VALOR AGREGADO 0 % de ( 6 )</v>
      </c>
      <c r="C176" s="512"/>
      <c r="D176" s="513"/>
      <c r="E176" s="546">
        <f>IVA</f>
        <v>0</v>
      </c>
      <c r="F176" s="514"/>
      <c r="G176" s="547"/>
      <c r="H176" s="515">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1864</v>
      </c>
      <c r="C178" s="151"/>
      <c r="D178" s="146"/>
      <c r="F178" s="72"/>
      <c r="H178" s="548">
        <f ca="1">Monto_Oferta</f>
        <v>0</v>
      </c>
      <c r="I178" s="146"/>
    </row>
    <row r="179" spans="1:9" ht="20.100000000000001" customHeight="1" x14ac:dyDescent="0.2">
      <c r="I179" s="152"/>
    </row>
    <row r="180" spans="1:9" ht="60" customHeight="1" x14ac:dyDescent="0.2">
      <c r="A180" s="705" t="e">
        <f ca="1">"El presente presupuesto asciende a la suma de: " &amp; UPPER(CONVERTIRNUM(Monto_Oferta))</f>
        <v>#NAME?</v>
      </c>
      <c r="B180" s="705"/>
      <c r="C180" s="705"/>
      <c r="D180" s="705"/>
      <c r="E180" s="705"/>
      <c r="F180" s="705"/>
      <c r="G180" s="705"/>
      <c r="H180" s="705"/>
      <c r="I180" s="705"/>
    </row>
    <row r="181" spans="1:9" x14ac:dyDescent="0.2">
      <c r="A181" s="73"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6" t="s">
        <v>31</v>
      </c>
      <c r="B1" s="717"/>
      <c r="C1" s="717"/>
      <c r="D1" s="717"/>
      <c r="E1" s="717"/>
      <c r="F1" s="717"/>
      <c r="G1" s="718"/>
      <c r="H1" s="65"/>
    </row>
    <row r="2" spans="1:8" ht="19.899999999999999" customHeight="1" x14ac:dyDescent="0.2">
      <c r="A2" s="516" t="s">
        <v>711</v>
      </c>
      <c r="B2" s="467" t="str">
        <f>Comitente</f>
        <v>DIRECCIÓN PROVINCIAL DE VIALIDAD</v>
      </c>
      <c r="C2" s="468"/>
      <c r="D2" s="469"/>
      <c r="E2" s="469"/>
      <c r="F2" s="470"/>
      <c r="G2" s="517"/>
      <c r="H2" s="65"/>
    </row>
    <row r="3" spans="1:8" ht="19.899999999999999" customHeight="1" x14ac:dyDescent="0.2">
      <c r="A3" s="516" t="s">
        <v>712</v>
      </c>
      <c r="B3" s="467">
        <f>Contratista</f>
        <v>0</v>
      </c>
      <c r="C3" s="471"/>
      <c r="D3" s="471"/>
      <c r="E3" s="471"/>
      <c r="F3" s="467"/>
      <c r="G3" s="518"/>
      <c r="H3" s="65"/>
    </row>
    <row r="4" spans="1:8" ht="19.899999999999999" customHeight="1" x14ac:dyDescent="0.2">
      <c r="A4" s="516" t="s">
        <v>21</v>
      </c>
      <c r="B4" s="467" t="str">
        <f>Obra</f>
        <v>OBRA BÁSICA Y PAVIMENTACIÓN CALLE GÜEMES</v>
      </c>
      <c r="C4" s="471"/>
      <c r="D4" s="471"/>
      <c r="E4" s="471"/>
      <c r="F4" s="467" t="s">
        <v>32</v>
      </c>
      <c r="G4" s="518">
        <f>Fecha_Base</f>
        <v>0</v>
      </c>
      <c r="H4" s="65"/>
    </row>
    <row r="5" spans="1:8" ht="19.899999999999999" customHeight="1" x14ac:dyDescent="0.2">
      <c r="A5" s="519" t="s">
        <v>710</v>
      </c>
      <c r="B5" s="472" t="str">
        <f>Ubicación</f>
        <v>Rawson - Santa Lucia</v>
      </c>
      <c r="C5" s="472"/>
      <c r="D5" s="473"/>
      <c r="E5" s="474"/>
      <c r="F5" s="475"/>
      <c r="G5" s="520"/>
      <c r="H5" s="65"/>
    </row>
    <row r="6" spans="1:8" ht="19.899999999999999" customHeight="1" x14ac:dyDescent="0.2">
      <c r="A6" s="519" t="s">
        <v>33</v>
      </c>
      <c r="B6" s="476" t="str">
        <f>IFERROR(VALUE(LEFT(B7,FIND(".",B7)-1)),"")</f>
        <v/>
      </c>
      <c r="C6" s="175">
        <f ca="1">IFERROR(VLOOKUP(B6,T_Computo_Presupuesto,2,FALSE),0)</f>
        <v>0</v>
      </c>
      <c r="D6" s="175"/>
      <c r="E6" s="474"/>
      <c r="F6" s="475"/>
      <c r="G6" s="520"/>
      <c r="H6" s="65"/>
    </row>
    <row r="7" spans="1:8" ht="19.899999999999999" customHeight="1" x14ac:dyDescent="0.2">
      <c r="A7" s="519" t="s">
        <v>22</v>
      </c>
      <c r="B7" s="477">
        <f>IFERROR(VLOOKUP(COUNTIF($A$1:A7,"ANALISIS DE PRECIOS"),T_NumeroItem,2,FALSE),"")</f>
        <v>1</v>
      </c>
      <c r="C7" s="719" t="str">
        <f ca="1">IFERROR(VLOOKUP(B7,T_Computo_Presupuesto,2,FALSE),0)</f>
        <v>Desbosque, destronque y limpieza del terreno</v>
      </c>
      <c r="D7" s="719"/>
      <c r="E7" s="719"/>
      <c r="F7" s="472" t="s">
        <v>23</v>
      </c>
      <c r="G7" s="521" t="str">
        <f ca="1">IFERROR(VLOOKUP(B7,T_Computo_Presupuesto,4,FALSE),0)</f>
        <v>Ha</v>
      </c>
      <c r="H7" s="65"/>
    </row>
    <row r="8" spans="1:8" ht="19.899999999999999" customHeight="1" x14ac:dyDescent="0.2">
      <c r="A8" s="519"/>
      <c r="B8" s="472"/>
      <c r="C8" s="175"/>
      <c r="D8" s="473"/>
      <c r="E8" s="474"/>
      <c r="F8" s="175"/>
      <c r="G8" s="522"/>
      <c r="H8" s="65"/>
    </row>
    <row r="9" spans="1:8" ht="19.899999999999999" customHeight="1" x14ac:dyDescent="0.2">
      <c r="A9" s="523"/>
      <c r="B9" s="478"/>
      <c r="C9" s="479" t="s">
        <v>999</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1000</v>
      </c>
      <c r="D11" s="482" t="s">
        <v>24</v>
      </c>
      <c r="E11" s="482" t="s">
        <v>1001</v>
      </c>
      <c r="F11" s="482" t="s">
        <v>1002</v>
      </c>
      <c r="G11" s="481" t="s">
        <v>1003</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1004</v>
      </c>
      <c r="D23" s="472" t="s">
        <v>1001</v>
      </c>
      <c r="E23" s="538">
        <f>SUMPRODUCT(D12:D21,E12:E21)</f>
        <v>0</v>
      </c>
      <c r="F23" s="472" t="s">
        <v>1005</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1006</v>
      </c>
      <c r="D25" s="489">
        <f>IFERROR(VLOOKUP(COUNTIF($A$1:A25,"ANALISIS DE PRECIOS"),T_Rendimiento_Equipo,5,FALSE),0)</f>
        <v>0</v>
      </c>
      <c r="E25" s="490" t="str">
        <f ca="1">G7&amp;"/día"</f>
        <v>Ha/día</v>
      </c>
      <c r="F25" s="466"/>
      <c r="G25" s="521"/>
    </row>
    <row r="26" spans="1:7" ht="19.899999999999999" customHeight="1" x14ac:dyDescent="0.2">
      <c r="A26" s="519"/>
      <c r="B26" s="480"/>
      <c r="C26" s="175"/>
      <c r="D26" s="473"/>
      <c r="E26" s="474"/>
      <c r="F26" s="472"/>
      <c r="G26" s="521"/>
    </row>
    <row r="27" spans="1:7" ht="19.899999999999999" customHeight="1" x14ac:dyDescent="0.2">
      <c r="A27" s="706" t="s">
        <v>576</v>
      </c>
      <c r="B27" s="707"/>
      <c r="C27" s="708" t="s">
        <v>0</v>
      </c>
      <c r="D27" s="720" t="s">
        <v>1866</v>
      </c>
      <c r="E27" s="720" t="s">
        <v>1865</v>
      </c>
      <c r="F27" s="712" t="s">
        <v>1007</v>
      </c>
      <c r="G27" s="714" t="s">
        <v>26</v>
      </c>
    </row>
    <row r="28" spans="1:7" ht="19.899999999999999" customHeight="1" x14ac:dyDescent="0.2">
      <c r="A28" s="491" t="s">
        <v>577</v>
      </c>
      <c r="B28" s="491" t="s">
        <v>578</v>
      </c>
      <c r="C28" s="709"/>
      <c r="D28" s="721"/>
      <c r="E28" s="711"/>
      <c r="F28" s="713"/>
      <c r="G28" s="715"/>
    </row>
    <row r="29" spans="1:7" ht="19.899999999999999" customHeight="1" x14ac:dyDescent="0.2">
      <c r="A29" s="527"/>
      <c r="B29" s="175"/>
      <c r="C29" s="469" t="s">
        <v>1008</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27</v>
      </c>
      <c r="G39" s="531">
        <f>SUBTOTAL(9,G30:G38)</f>
        <v>0</v>
      </c>
    </row>
    <row r="40" spans="1:7" ht="19.899999999999999" customHeight="1" x14ac:dyDescent="0.2">
      <c r="A40" s="527"/>
      <c r="B40" s="175"/>
      <c r="C40" s="469" t="s">
        <v>713</v>
      </c>
      <c r="D40" s="473"/>
      <c r="E40" s="474"/>
      <c r="F40" s="475"/>
      <c r="G40" s="528"/>
    </row>
    <row r="41" spans="1:7" ht="19.899999999999999" customHeight="1" x14ac:dyDescent="0.2">
      <c r="A41" s="706" t="s">
        <v>576</v>
      </c>
      <c r="B41" s="707"/>
      <c r="C41" s="708" t="s">
        <v>0</v>
      </c>
      <c r="D41" s="710" t="s">
        <v>24</v>
      </c>
      <c r="E41" s="710" t="s">
        <v>1832</v>
      </c>
      <c r="F41" s="712" t="s">
        <v>1007</v>
      </c>
      <c r="G41" s="714" t="s">
        <v>26</v>
      </c>
    </row>
    <row r="42" spans="1:7" ht="19.899999999999999" customHeight="1" x14ac:dyDescent="0.2">
      <c r="A42" s="491" t="s">
        <v>577</v>
      </c>
      <c r="B42" s="491" t="s">
        <v>578</v>
      </c>
      <c r="C42" s="709"/>
      <c r="D42" s="711"/>
      <c r="E42" s="711"/>
      <c r="F42" s="713"/>
      <c r="G42" s="715"/>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28</v>
      </c>
      <c r="G50" s="532">
        <f>SUBTOTAL(9,G43:G49)</f>
        <v>0</v>
      </c>
    </row>
    <row r="51" spans="1:7" ht="19.899999999999999" customHeight="1" x14ac:dyDescent="0.2">
      <c r="A51" s="527"/>
      <c r="B51" s="175"/>
      <c r="C51" s="469" t="s">
        <v>1014</v>
      </c>
      <c r="D51" s="473"/>
      <c r="E51" s="474"/>
      <c r="F51" s="475"/>
      <c r="G51" s="528"/>
    </row>
    <row r="52" spans="1:7" ht="19.899999999999999" customHeight="1" x14ac:dyDescent="0.2">
      <c r="A52" s="706" t="s">
        <v>576</v>
      </c>
      <c r="B52" s="707"/>
      <c r="C52" s="708" t="s">
        <v>0</v>
      </c>
      <c r="D52" s="708" t="s">
        <v>1867</v>
      </c>
      <c r="E52" s="710" t="s">
        <v>24</v>
      </c>
      <c r="F52" s="712" t="s">
        <v>25</v>
      </c>
      <c r="G52" s="714" t="s">
        <v>26</v>
      </c>
    </row>
    <row r="53" spans="1:7" ht="19.899999999999999" customHeight="1" x14ac:dyDescent="0.2">
      <c r="A53" s="491" t="s">
        <v>577</v>
      </c>
      <c r="B53" s="491" t="s">
        <v>578</v>
      </c>
      <c r="C53" s="709"/>
      <c r="D53" s="709"/>
      <c r="E53" s="711"/>
      <c r="F53" s="713"/>
      <c r="G53" s="715"/>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29</v>
      </c>
      <c r="G65" s="532">
        <f>SUBTOTAL(9,G54:G64)</f>
        <v>0</v>
      </c>
    </row>
    <row r="66" spans="1:8" ht="19.899999999999999" customHeight="1" x14ac:dyDescent="0.2">
      <c r="A66" s="527"/>
      <c r="B66" s="175"/>
      <c r="C66" s="469" t="s">
        <v>1015</v>
      </c>
      <c r="D66" s="473"/>
      <c r="E66" s="474"/>
      <c r="F66" s="475"/>
      <c r="G66" s="528"/>
    </row>
    <row r="67" spans="1:8" ht="19.899999999999999" customHeight="1" x14ac:dyDescent="0.2">
      <c r="A67" s="706" t="s">
        <v>576</v>
      </c>
      <c r="B67" s="707"/>
      <c r="C67" s="708" t="s">
        <v>0</v>
      </c>
      <c r="D67" s="708" t="s">
        <v>1867</v>
      </c>
      <c r="E67" s="710" t="s">
        <v>24</v>
      </c>
      <c r="F67" s="712" t="s">
        <v>25</v>
      </c>
      <c r="G67" s="714" t="s">
        <v>26</v>
      </c>
    </row>
    <row r="68" spans="1:8" ht="19.899999999999999" customHeight="1" x14ac:dyDescent="0.2">
      <c r="A68" s="491" t="s">
        <v>577</v>
      </c>
      <c r="B68" s="491" t="s">
        <v>578</v>
      </c>
      <c r="C68" s="709"/>
      <c r="D68" s="709"/>
      <c r="E68" s="711"/>
      <c r="F68" s="713"/>
      <c r="G68" s="715"/>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1016</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Desbosque, destronque y limpieza del terreno</v>
      </c>
      <c r="C73" s="473"/>
      <c r="D73" s="473" t="s">
        <v>1833</v>
      </c>
      <c r="E73" s="586"/>
      <c r="F73" s="587" t="str">
        <f ca="1">"$/"&amp;G7</f>
        <v>$/Ha</v>
      </c>
      <c r="G73" s="537">
        <f>SUBTOTAL(9,G30:G72)</f>
        <v>0</v>
      </c>
      <c r="H73" s="65"/>
    </row>
    <row r="74" spans="1:8" ht="19.899999999999999" customHeight="1" x14ac:dyDescent="0.2">
      <c r="A74" s="533"/>
      <c r="B74" s="534"/>
      <c r="C74" s="535"/>
      <c r="D74" s="535" t="s">
        <v>2043</v>
      </c>
      <c r="E74" s="536"/>
      <c r="F74" s="589" t="str">
        <f ca="1">"$/"&amp;G7</f>
        <v>$/Ha</v>
      </c>
      <c r="G74" s="537">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16" t="s">
        <v>31</v>
      </c>
      <c r="B76" s="717"/>
      <c r="C76" s="717"/>
      <c r="D76" s="717"/>
      <c r="E76" s="717"/>
      <c r="F76" s="717"/>
      <c r="G76" s="718"/>
    </row>
    <row r="77" spans="1:8" ht="19.899999999999999" customHeight="1" x14ac:dyDescent="0.2">
      <c r="A77" s="516" t="s">
        <v>711</v>
      </c>
      <c r="B77" s="467" t="str">
        <f>Comitente</f>
        <v>DIRECCIÓN PROVINCIAL DE VIALIDAD</v>
      </c>
      <c r="C77" s="468"/>
      <c r="D77" s="469"/>
      <c r="E77" s="469"/>
      <c r="F77" s="470"/>
      <c r="G77" s="517"/>
    </row>
    <row r="78" spans="1:8" ht="19.899999999999999" customHeight="1" x14ac:dyDescent="0.2">
      <c r="A78" s="516" t="s">
        <v>712</v>
      </c>
      <c r="B78" s="467">
        <f>Contratista</f>
        <v>0</v>
      </c>
      <c r="C78" s="471"/>
      <c r="D78" s="471"/>
      <c r="E78" s="471"/>
      <c r="F78" s="467"/>
      <c r="G78" s="518"/>
    </row>
    <row r="79" spans="1:8" ht="19.899999999999999" customHeight="1" x14ac:dyDescent="0.2">
      <c r="A79" s="516" t="s">
        <v>21</v>
      </c>
      <c r="B79" s="467" t="str">
        <f>Obra</f>
        <v>OBRA BÁSICA Y PAVIMENTACIÓN CALLE GÜEMES</v>
      </c>
      <c r="C79" s="471"/>
      <c r="D79" s="471"/>
      <c r="E79" s="471"/>
      <c r="F79" s="467" t="s">
        <v>32</v>
      </c>
      <c r="G79" s="518">
        <f>Fecha_Base</f>
        <v>0</v>
      </c>
    </row>
    <row r="80" spans="1:8" ht="19.899999999999999" customHeight="1" x14ac:dyDescent="0.2">
      <c r="A80" s="519" t="s">
        <v>710</v>
      </c>
      <c r="B80" s="472" t="str">
        <f>Ubicación</f>
        <v>Rawson - Santa Lucia</v>
      </c>
      <c r="C80" s="472"/>
      <c r="D80" s="473"/>
      <c r="E80" s="474"/>
      <c r="F80" s="475"/>
      <c r="G80" s="520"/>
    </row>
    <row r="81" spans="1:7" ht="19.899999999999999" customHeight="1" x14ac:dyDescent="0.2">
      <c r="A81" s="519" t="s">
        <v>33</v>
      </c>
      <c r="B81" s="476" t="str">
        <f>IFERROR(VALUE(LEFT(B82,FIND(".",B82)-1)),"")</f>
        <v/>
      </c>
      <c r="C81" s="175">
        <f ca="1">IFERROR(VLOOKUP(B81,T_Computo_Presupuesto,2,FALSE),0)</f>
        <v>0</v>
      </c>
      <c r="D81" s="175"/>
      <c r="E81" s="474"/>
      <c r="F81" s="475"/>
      <c r="G81" s="520"/>
    </row>
    <row r="82" spans="1:7" ht="19.899999999999999" customHeight="1" x14ac:dyDescent="0.2">
      <c r="A82" s="519" t="s">
        <v>22</v>
      </c>
      <c r="B82" s="477">
        <f>IFERROR(VLOOKUP(COUNTIF($A$1:A82,"ANALISIS DE PRECIOS"),T_NumeroItem,2,FALSE),"")</f>
        <v>2</v>
      </c>
      <c r="C82" s="719" t="str">
        <f ca="1">IFERROR(VLOOKUP(B82,T_Computo_Presupuesto,2,FALSE),0)</f>
        <v>Extracción de Arboles  y Tocones (diam.&gt;0,60 m y &lt;1,00 m)</v>
      </c>
      <c r="D82" s="719"/>
      <c r="E82" s="719"/>
      <c r="F82" s="472" t="s">
        <v>23</v>
      </c>
      <c r="G82" s="521" t="str">
        <f ca="1">IFERROR(VLOOKUP(B82,T_Computo_Presupuesto,4,FALSE),0)</f>
        <v>Un.</v>
      </c>
    </row>
    <row r="83" spans="1:7" ht="19.899999999999999" customHeight="1" x14ac:dyDescent="0.2">
      <c r="A83" s="519"/>
      <c r="B83" s="472"/>
      <c r="C83" s="175"/>
      <c r="D83" s="473"/>
      <c r="E83" s="474"/>
      <c r="F83" s="175"/>
      <c r="G83" s="522"/>
    </row>
    <row r="84" spans="1:7" ht="19.899999999999999" customHeight="1" x14ac:dyDescent="0.2">
      <c r="A84" s="523"/>
      <c r="B84" s="478"/>
      <c r="C84" s="479" t="s">
        <v>999</v>
      </c>
      <c r="D84" s="478"/>
      <c r="E84" s="478"/>
      <c r="F84" s="478"/>
      <c r="G84" s="524"/>
    </row>
    <row r="85" spans="1:7" ht="19.899999999999999" customHeight="1" x14ac:dyDescent="0.2">
      <c r="A85" s="519"/>
      <c r="B85" s="480"/>
      <c r="C85" s="175"/>
      <c r="D85" s="473"/>
      <c r="E85" s="474"/>
      <c r="F85" s="472"/>
      <c r="G85" s="521"/>
    </row>
    <row r="86" spans="1:7" ht="19.899999999999999" customHeight="1" x14ac:dyDescent="0.2">
      <c r="A86" s="519"/>
      <c r="B86" s="480"/>
      <c r="C86" s="481" t="s">
        <v>1000</v>
      </c>
      <c r="D86" s="482" t="s">
        <v>24</v>
      </c>
      <c r="E86" s="482" t="s">
        <v>1001</v>
      </c>
      <c r="F86" s="482" t="s">
        <v>1002</v>
      </c>
      <c r="G86" s="481" t="s">
        <v>1003</v>
      </c>
    </row>
    <row r="87" spans="1:7"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x14ac:dyDescent="0.2">
      <c r="A88" s="519"/>
      <c r="B88" s="480"/>
      <c r="C88" s="483"/>
      <c r="D88" s="484"/>
      <c r="E88" s="485">
        <f t="shared" si="17"/>
        <v>0</v>
      </c>
      <c r="F88" s="486">
        <f t="shared" si="18"/>
        <v>0</v>
      </c>
      <c r="G88" s="486">
        <f>ROUND(D88*F88,2)</f>
        <v>0</v>
      </c>
    </row>
    <row r="89" spans="1:7" ht="19.899999999999999" customHeight="1" x14ac:dyDescent="0.2">
      <c r="A89" s="519"/>
      <c r="B89" s="480"/>
      <c r="C89" s="483"/>
      <c r="D89" s="484"/>
      <c r="E89" s="485">
        <f t="shared" si="17"/>
        <v>0</v>
      </c>
      <c r="F89" s="486">
        <f t="shared" si="18"/>
        <v>0</v>
      </c>
      <c r="G89" s="486">
        <f>ROUND(D89*F89,2)</f>
        <v>0</v>
      </c>
    </row>
    <row r="90" spans="1:7" ht="19.899999999999999" customHeight="1" x14ac:dyDescent="0.2">
      <c r="A90" s="519"/>
      <c r="B90" s="480"/>
      <c r="C90" s="483"/>
      <c r="D90" s="484"/>
      <c r="E90" s="485">
        <f t="shared" si="17"/>
        <v>0</v>
      </c>
      <c r="F90" s="486">
        <f t="shared" si="18"/>
        <v>0</v>
      </c>
      <c r="G90" s="486">
        <f>ROUND(D90*F90,2)</f>
        <v>0</v>
      </c>
    </row>
    <row r="91" spans="1:7" ht="19.899999999999999" customHeight="1" x14ac:dyDescent="0.2">
      <c r="A91" s="519"/>
      <c r="B91" s="480"/>
      <c r="C91" s="483"/>
      <c r="D91" s="484"/>
      <c r="E91" s="485">
        <f t="shared" si="17"/>
        <v>0</v>
      </c>
      <c r="F91" s="486">
        <f t="shared" si="18"/>
        <v>0</v>
      </c>
      <c r="G91" s="486">
        <f t="shared" ref="G91:G96" si="19">ROUND(D91*F91,2)</f>
        <v>0</v>
      </c>
    </row>
    <row r="92" spans="1:7" ht="19.899999999999999" customHeight="1" x14ac:dyDescent="0.2">
      <c r="A92" s="519"/>
      <c r="B92" s="480"/>
      <c r="C92" s="483"/>
      <c r="D92" s="484"/>
      <c r="E92" s="485">
        <f t="shared" si="17"/>
        <v>0</v>
      </c>
      <c r="F92" s="486">
        <f t="shared" si="18"/>
        <v>0</v>
      </c>
      <c r="G92" s="486">
        <f t="shared" si="19"/>
        <v>0</v>
      </c>
    </row>
    <row r="93" spans="1:7" ht="19.899999999999999" customHeight="1" x14ac:dyDescent="0.2">
      <c r="A93" s="519"/>
      <c r="B93" s="480"/>
      <c r="C93" s="483"/>
      <c r="D93" s="484"/>
      <c r="E93" s="485">
        <f t="shared" si="17"/>
        <v>0</v>
      </c>
      <c r="F93" s="486">
        <f t="shared" si="18"/>
        <v>0</v>
      </c>
      <c r="G93" s="486">
        <f t="shared" si="19"/>
        <v>0</v>
      </c>
    </row>
    <row r="94" spans="1:7" ht="19.899999999999999" customHeight="1" x14ac:dyDescent="0.2">
      <c r="A94" s="519"/>
      <c r="B94" s="480"/>
      <c r="C94" s="483"/>
      <c r="D94" s="484"/>
      <c r="E94" s="485">
        <f t="shared" si="17"/>
        <v>0</v>
      </c>
      <c r="F94" s="486">
        <f t="shared" si="18"/>
        <v>0</v>
      </c>
      <c r="G94" s="486">
        <f t="shared" si="19"/>
        <v>0</v>
      </c>
    </row>
    <row r="95" spans="1:7" ht="19.899999999999999" customHeight="1" x14ac:dyDescent="0.2">
      <c r="A95" s="519"/>
      <c r="B95" s="480"/>
      <c r="C95" s="483"/>
      <c r="D95" s="484"/>
      <c r="E95" s="485">
        <f t="shared" si="17"/>
        <v>0</v>
      </c>
      <c r="F95" s="486">
        <f t="shared" si="18"/>
        <v>0</v>
      </c>
      <c r="G95" s="486">
        <f t="shared" si="19"/>
        <v>0</v>
      </c>
    </row>
    <row r="96" spans="1:7" ht="19.899999999999999" customHeight="1" x14ac:dyDescent="0.2">
      <c r="A96" s="519"/>
      <c r="B96" s="480"/>
      <c r="C96" s="483"/>
      <c r="D96" s="484"/>
      <c r="E96" s="485">
        <f t="shared" si="17"/>
        <v>0</v>
      </c>
      <c r="F96" s="486">
        <f t="shared" si="18"/>
        <v>0</v>
      </c>
      <c r="G96" s="486">
        <f t="shared" si="19"/>
        <v>0</v>
      </c>
    </row>
    <row r="97" spans="1:7" ht="19.899999999999999" customHeight="1" x14ac:dyDescent="0.2">
      <c r="A97" s="519"/>
      <c r="B97" s="480"/>
      <c r="C97" s="175"/>
      <c r="D97" s="175"/>
      <c r="E97" s="487"/>
      <c r="F97" s="472"/>
      <c r="G97" s="521"/>
    </row>
    <row r="98" spans="1:7" ht="19.899999999999999" customHeight="1" x14ac:dyDescent="0.2">
      <c r="A98" s="519"/>
      <c r="B98" s="175"/>
      <c r="C98" s="469" t="s">
        <v>1004</v>
      </c>
      <c r="D98" s="472" t="s">
        <v>1001</v>
      </c>
      <c r="E98" s="538">
        <f>SUMPRODUCT(D87:D96,E87:E96)</f>
        <v>0</v>
      </c>
      <c r="F98" s="472" t="s">
        <v>1005</v>
      </c>
      <c r="G98" s="539">
        <f>SUM(G87:G96)</f>
        <v>0</v>
      </c>
    </row>
    <row r="99" spans="1:7" ht="19.899999999999999" customHeight="1" x14ac:dyDescent="0.2">
      <c r="A99" s="519"/>
      <c r="B99" s="480"/>
      <c r="C99" s="488"/>
      <c r="D99" s="487"/>
      <c r="E99" s="474"/>
      <c r="F99" s="472"/>
      <c r="G99" s="525"/>
    </row>
    <row r="100" spans="1:7" ht="19.899999999999999" customHeight="1" x14ac:dyDescent="0.2">
      <c r="A100" s="526"/>
      <c r="B100" s="480"/>
      <c r="C100" s="472" t="s">
        <v>1006</v>
      </c>
      <c r="D100" s="489">
        <f>IFERROR(VLOOKUP(COUNTIF($A$1:A100,"ANALISIS DE PRECIOS"),T_Rendimiento_Equipo,5,FALSE),0)</f>
        <v>0</v>
      </c>
      <c r="E100" s="490" t="str">
        <f ca="1">G82&amp;"/día"</f>
        <v>Un./día</v>
      </c>
      <c r="F100" s="466"/>
      <c r="G100" s="521"/>
    </row>
    <row r="101" spans="1:7" ht="19.899999999999999" customHeight="1" x14ac:dyDescent="0.2">
      <c r="A101" s="519"/>
      <c r="B101" s="480"/>
      <c r="C101" s="175"/>
      <c r="D101" s="473"/>
      <c r="E101" s="474"/>
      <c r="F101" s="472"/>
      <c r="G101" s="521"/>
    </row>
    <row r="102" spans="1:7" ht="19.899999999999999" customHeight="1" x14ac:dyDescent="0.2">
      <c r="A102" s="706" t="s">
        <v>576</v>
      </c>
      <c r="B102" s="707"/>
      <c r="C102" s="708" t="s">
        <v>0</v>
      </c>
      <c r="D102" s="720" t="s">
        <v>1866</v>
      </c>
      <c r="E102" s="720" t="s">
        <v>1865</v>
      </c>
      <c r="F102" s="712" t="s">
        <v>1007</v>
      </c>
      <c r="G102" s="714" t="s">
        <v>26</v>
      </c>
    </row>
    <row r="103" spans="1:7" ht="19.899999999999999" customHeight="1" x14ac:dyDescent="0.2">
      <c r="A103" s="491" t="s">
        <v>577</v>
      </c>
      <c r="B103" s="491" t="s">
        <v>578</v>
      </c>
      <c r="C103" s="709"/>
      <c r="D103" s="721"/>
      <c r="E103" s="711"/>
      <c r="F103" s="713"/>
      <c r="G103" s="715"/>
    </row>
    <row r="104" spans="1:7" ht="19.899999999999999" customHeight="1" x14ac:dyDescent="0.2">
      <c r="A104" s="527"/>
      <c r="B104" s="175"/>
      <c r="C104" s="469" t="s">
        <v>1008</v>
      </c>
      <c r="D104" s="474"/>
      <c r="E104" s="474"/>
      <c r="F104" s="175"/>
      <c r="G104" s="528"/>
    </row>
    <row r="105" spans="1:7"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x14ac:dyDescent="0.2">
      <c r="A114" s="530"/>
      <c r="B114" s="473"/>
      <c r="C114" s="175"/>
      <c r="D114" s="473"/>
      <c r="E114" s="474"/>
      <c r="F114" s="495" t="s">
        <v>27</v>
      </c>
      <c r="G114" s="531">
        <f>SUBTOTAL(9,G105:G113)</f>
        <v>0</v>
      </c>
    </row>
    <row r="115" spans="1:7" ht="19.899999999999999" customHeight="1" x14ac:dyDescent="0.2">
      <c r="A115" s="527"/>
      <c r="B115" s="175"/>
      <c r="C115" s="469" t="s">
        <v>713</v>
      </c>
      <c r="D115" s="473"/>
      <c r="E115" s="474"/>
      <c r="F115" s="475"/>
      <c r="G115" s="528"/>
    </row>
    <row r="116" spans="1:7" ht="19.899999999999999" customHeight="1" x14ac:dyDescent="0.2">
      <c r="A116" s="706" t="s">
        <v>576</v>
      </c>
      <c r="B116" s="707"/>
      <c r="C116" s="708" t="s">
        <v>0</v>
      </c>
      <c r="D116" s="710" t="s">
        <v>24</v>
      </c>
      <c r="E116" s="710" t="s">
        <v>1832</v>
      </c>
      <c r="F116" s="712" t="s">
        <v>1007</v>
      </c>
      <c r="G116" s="714" t="s">
        <v>26</v>
      </c>
    </row>
    <row r="117" spans="1:7" ht="19.899999999999999" customHeight="1" x14ac:dyDescent="0.2">
      <c r="A117" s="491" t="s">
        <v>577</v>
      </c>
      <c r="B117" s="491" t="s">
        <v>578</v>
      </c>
      <c r="C117" s="709"/>
      <c r="D117" s="711"/>
      <c r="E117" s="711"/>
      <c r="F117" s="713"/>
      <c r="G117" s="715"/>
    </row>
    <row r="118" spans="1:7"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x14ac:dyDescent="0.2">
      <c r="A125" s="530"/>
      <c r="B125" s="473"/>
      <c r="C125" s="175"/>
      <c r="D125" s="473"/>
      <c r="E125" s="474"/>
      <c r="F125" s="495" t="s">
        <v>28</v>
      </c>
      <c r="G125" s="532">
        <f>SUBTOTAL(9,G118:G124)</f>
        <v>0</v>
      </c>
    </row>
    <row r="126" spans="1:7" ht="19.899999999999999" customHeight="1" x14ac:dyDescent="0.2">
      <c r="A126" s="527"/>
      <c r="B126" s="175"/>
      <c r="C126" s="469" t="s">
        <v>1014</v>
      </c>
      <c r="D126" s="473"/>
      <c r="E126" s="474"/>
      <c r="F126" s="475"/>
      <c r="G126" s="528"/>
    </row>
    <row r="127" spans="1:7" ht="19.899999999999999" customHeight="1" x14ac:dyDescent="0.2">
      <c r="A127" s="706" t="s">
        <v>576</v>
      </c>
      <c r="B127" s="707"/>
      <c r="C127" s="708" t="s">
        <v>0</v>
      </c>
      <c r="D127" s="708" t="s">
        <v>1867</v>
      </c>
      <c r="E127" s="710" t="s">
        <v>24</v>
      </c>
      <c r="F127" s="712" t="s">
        <v>25</v>
      </c>
      <c r="G127" s="714" t="s">
        <v>26</v>
      </c>
    </row>
    <row r="128" spans="1:7" ht="19.899999999999999" customHeight="1" x14ac:dyDescent="0.2">
      <c r="A128" s="491" t="s">
        <v>577</v>
      </c>
      <c r="B128" s="491" t="s">
        <v>578</v>
      </c>
      <c r="C128" s="709"/>
      <c r="D128" s="709"/>
      <c r="E128" s="711"/>
      <c r="F128" s="713"/>
      <c r="G128" s="715"/>
    </row>
    <row r="129" spans="1:7"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x14ac:dyDescent="0.2">
      <c r="A130" s="529">
        <f t="shared" si="28"/>
        <v>0</v>
      </c>
      <c r="B130" s="492">
        <f t="shared" si="29"/>
        <v>0</v>
      </c>
      <c r="C130" s="492"/>
      <c r="D130" s="540">
        <f t="shared" si="30"/>
        <v>0</v>
      </c>
      <c r="E130" s="484"/>
      <c r="F130" s="486">
        <f t="shared" si="31"/>
        <v>0</v>
      </c>
      <c r="G130" s="486">
        <f t="shared" ref="G130:G139" si="32">ROUND(E130*F130,2)</f>
        <v>0</v>
      </c>
    </row>
    <row r="131" spans="1:7" ht="19.899999999999999" customHeight="1" x14ac:dyDescent="0.2">
      <c r="A131" s="529">
        <f t="shared" si="28"/>
        <v>0</v>
      </c>
      <c r="B131" s="492">
        <f t="shared" si="29"/>
        <v>0</v>
      </c>
      <c r="C131" s="492"/>
      <c r="D131" s="540">
        <f t="shared" si="30"/>
        <v>0</v>
      </c>
      <c r="E131" s="484"/>
      <c r="F131" s="486">
        <f t="shared" si="31"/>
        <v>0</v>
      </c>
      <c r="G131" s="486">
        <f t="shared" si="32"/>
        <v>0</v>
      </c>
    </row>
    <row r="132" spans="1:7" ht="19.899999999999999" customHeight="1" x14ac:dyDescent="0.2">
      <c r="A132" s="529">
        <f t="shared" si="28"/>
        <v>0</v>
      </c>
      <c r="B132" s="492">
        <f t="shared" si="29"/>
        <v>0</v>
      </c>
      <c r="C132" s="492"/>
      <c r="D132" s="540">
        <f t="shared" si="30"/>
        <v>0</v>
      </c>
      <c r="E132" s="484"/>
      <c r="F132" s="486">
        <f t="shared" si="31"/>
        <v>0</v>
      </c>
      <c r="G132" s="486">
        <f t="shared" si="32"/>
        <v>0</v>
      </c>
    </row>
    <row r="133" spans="1:7" ht="19.899999999999999" customHeight="1" x14ac:dyDescent="0.2">
      <c r="A133" s="529">
        <f t="shared" si="28"/>
        <v>0</v>
      </c>
      <c r="B133" s="492">
        <f t="shared" si="29"/>
        <v>0</v>
      </c>
      <c r="C133" s="492"/>
      <c r="D133" s="540">
        <f t="shared" si="30"/>
        <v>0</v>
      </c>
      <c r="E133" s="484"/>
      <c r="F133" s="486">
        <f t="shared" si="31"/>
        <v>0</v>
      </c>
      <c r="G133" s="486">
        <f t="shared" si="32"/>
        <v>0</v>
      </c>
    </row>
    <row r="134" spans="1:7" ht="19.899999999999999" customHeight="1" x14ac:dyDescent="0.2">
      <c r="A134" s="529">
        <f t="shared" si="28"/>
        <v>0</v>
      </c>
      <c r="B134" s="492">
        <f t="shared" si="29"/>
        <v>0</v>
      </c>
      <c r="C134" s="492"/>
      <c r="D134" s="540">
        <f t="shared" si="30"/>
        <v>0</v>
      </c>
      <c r="E134" s="484"/>
      <c r="F134" s="486">
        <f t="shared" si="31"/>
        <v>0</v>
      </c>
      <c r="G134" s="486">
        <f t="shared" si="32"/>
        <v>0</v>
      </c>
    </row>
    <row r="135" spans="1:7" ht="19.899999999999999" customHeight="1" x14ac:dyDescent="0.2">
      <c r="A135" s="529">
        <f t="shared" si="28"/>
        <v>0</v>
      </c>
      <c r="B135" s="492">
        <f t="shared" si="29"/>
        <v>0</v>
      </c>
      <c r="C135" s="492"/>
      <c r="D135" s="540">
        <f t="shared" si="30"/>
        <v>0</v>
      </c>
      <c r="E135" s="484"/>
      <c r="F135" s="486">
        <f t="shared" si="31"/>
        <v>0</v>
      </c>
      <c r="G135" s="486">
        <f t="shared" si="32"/>
        <v>0</v>
      </c>
    </row>
    <row r="136" spans="1:7" ht="19.899999999999999" customHeight="1" x14ac:dyDescent="0.2">
      <c r="A136" s="529">
        <f t="shared" si="28"/>
        <v>0</v>
      </c>
      <c r="B136" s="492">
        <f t="shared" si="29"/>
        <v>0</v>
      </c>
      <c r="C136" s="492"/>
      <c r="D136" s="540">
        <f t="shared" si="30"/>
        <v>0</v>
      </c>
      <c r="E136" s="484"/>
      <c r="F136" s="486">
        <f t="shared" si="31"/>
        <v>0</v>
      </c>
      <c r="G136" s="486">
        <f t="shared" si="32"/>
        <v>0</v>
      </c>
    </row>
    <row r="137" spans="1:7" ht="19.899999999999999" customHeight="1" x14ac:dyDescent="0.2">
      <c r="A137" s="529">
        <f t="shared" si="28"/>
        <v>0</v>
      </c>
      <c r="B137" s="492">
        <f t="shared" si="29"/>
        <v>0</v>
      </c>
      <c r="C137" s="492"/>
      <c r="D137" s="540">
        <f t="shared" si="30"/>
        <v>0</v>
      </c>
      <c r="E137" s="484"/>
      <c r="F137" s="486">
        <f t="shared" si="31"/>
        <v>0</v>
      </c>
      <c r="G137" s="486">
        <f t="shared" si="32"/>
        <v>0</v>
      </c>
    </row>
    <row r="138" spans="1:7" ht="19.899999999999999" customHeight="1" x14ac:dyDescent="0.2">
      <c r="A138" s="529">
        <f t="shared" si="28"/>
        <v>0</v>
      </c>
      <c r="B138" s="492">
        <f t="shared" si="29"/>
        <v>0</v>
      </c>
      <c r="C138" s="492"/>
      <c r="D138" s="540">
        <f t="shared" si="30"/>
        <v>0</v>
      </c>
      <c r="E138" s="484"/>
      <c r="F138" s="486">
        <f t="shared" si="31"/>
        <v>0</v>
      </c>
      <c r="G138" s="486">
        <f t="shared" si="32"/>
        <v>0</v>
      </c>
    </row>
    <row r="139" spans="1:7" ht="19.899999999999999" customHeight="1" x14ac:dyDescent="0.2">
      <c r="A139" s="529">
        <f t="shared" si="28"/>
        <v>0</v>
      </c>
      <c r="B139" s="492">
        <f t="shared" si="29"/>
        <v>0</v>
      </c>
      <c r="C139" s="492"/>
      <c r="D139" s="540">
        <f t="shared" si="30"/>
        <v>0</v>
      </c>
      <c r="E139" s="484"/>
      <c r="F139" s="486">
        <f t="shared" si="31"/>
        <v>0</v>
      </c>
      <c r="G139" s="486">
        <f t="shared" si="32"/>
        <v>0</v>
      </c>
    </row>
    <row r="140" spans="1:7" ht="19.899999999999999" customHeight="1" x14ac:dyDescent="0.2">
      <c r="A140" s="527"/>
      <c r="B140" s="175"/>
      <c r="C140" s="175"/>
      <c r="D140" s="473"/>
      <c r="E140" s="474"/>
      <c r="F140" s="495" t="s">
        <v>29</v>
      </c>
      <c r="G140" s="532">
        <f>SUBTOTAL(9,G129:G139)</f>
        <v>0</v>
      </c>
    </row>
    <row r="141" spans="1:7" ht="19.899999999999999" customHeight="1" x14ac:dyDescent="0.2">
      <c r="A141" s="527"/>
      <c r="B141" s="175"/>
      <c r="C141" s="469" t="s">
        <v>1015</v>
      </c>
      <c r="D141" s="473"/>
      <c r="E141" s="474"/>
      <c r="F141" s="475"/>
      <c r="G141" s="528"/>
    </row>
    <row r="142" spans="1:7" ht="19.899999999999999" customHeight="1" x14ac:dyDescent="0.2">
      <c r="A142" s="706" t="s">
        <v>576</v>
      </c>
      <c r="B142" s="707"/>
      <c r="C142" s="708" t="s">
        <v>0</v>
      </c>
      <c r="D142" s="708" t="s">
        <v>1867</v>
      </c>
      <c r="E142" s="710" t="s">
        <v>24</v>
      </c>
      <c r="F142" s="712" t="s">
        <v>25</v>
      </c>
      <c r="G142" s="714" t="s">
        <v>26</v>
      </c>
    </row>
    <row r="143" spans="1:7" ht="19.899999999999999" customHeight="1" x14ac:dyDescent="0.2">
      <c r="A143" s="491" t="s">
        <v>577</v>
      </c>
      <c r="B143" s="491" t="s">
        <v>578</v>
      </c>
      <c r="C143" s="709"/>
      <c r="D143" s="709"/>
      <c r="E143" s="711"/>
      <c r="F143" s="713"/>
      <c r="G143" s="715"/>
    </row>
    <row r="144" spans="1:7"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x14ac:dyDescent="0.2">
      <c r="A146" s="527"/>
      <c r="B146" s="175"/>
      <c r="C146" s="175"/>
      <c r="D146" s="473"/>
      <c r="E146" s="474"/>
      <c r="F146" s="495" t="s">
        <v>1016</v>
      </c>
      <c r="G146" s="532">
        <f>SUBTOTAL(9,G144:G145)</f>
        <v>0</v>
      </c>
    </row>
    <row r="147" spans="1:7" ht="19.899999999999999" customHeight="1" x14ac:dyDescent="0.2">
      <c r="A147" s="530"/>
      <c r="B147" s="473"/>
      <c r="C147" s="175"/>
      <c r="D147" s="473"/>
      <c r="E147" s="474"/>
      <c r="F147" s="475"/>
      <c r="G147" s="528"/>
    </row>
    <row r="148" spans="1:7" ht="19.899999999999999" customHeight="1" x14ac:dyDescent="0.2">
      <c r="A148" s="588">
        <f>B82</f>
        <v>2</v>
      </c>
      <c r="B148" s="585" t="str">
        <f ca="1">C82</f>
        <v>Extracción de Arboles  y Tocones (diam.&gt;0,60 m y &lt;1,00 m)</v>
      </c>
      <c r="C148" s="473"/>
      <c r="D148" s="473" t="s">
        <v>1833</v>
      </c>
      <c r="E148" s="586"/>
      <c r="F148" s="587" t="str">
        <f ca="1">"$/"&amp;G82</f>
        <v>$/Un.</v>
      </c>
      <c r="G148" s="537">
        <f>SUBTOTAL(9,G105:G147)</f>
        <v>0</v>
      </c>
    </row>
    <row r="149" spans="1:7" ht="19.899999999999999" customHeight="1" x14ac:dyDescent="0.2">
      <c r="A149" s="533"/>
      <c r="B149" s="534"/>
      <c r="C149" s="535"/>
      <c r="D149" s="535" t="s">
        <v>2043</v>
      </c>
      <c r="E149" s="536"/>
      <c r="F149" s="589" t="str">
        <f ca="1">"$/"&amp;G82</f>
        <v>$/Un.</v>
      </c>
      <c r="G149" s="537">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16" t="s">
        <v>31</v>
      </c>
      <c r="B151" s="717"/>
      <c r="C151" s="717"/>
      <c r="D151" s="717"/>
      <c r="E151" s="717"/>
      <c r="F151" s="717"/>
      <c r="G151" s="718"/>
    </row>
    <row r="152" spans="1:7" ht="19.899999999999999" customHeight="1" x14ac:dyDescent="0.2">
      <c r="A152" s="516" t="s">
        <v>711</v>
      </c>
      <c r="B152" s="467" t="str">
        <f>Comitente</f>
        <v>DIRECCIÓN PROVINCIAL DE VIALIDAD</v>
      </c>
      <c r="C152" s="468"/>
      <c r="D152" s="469"/>
      <c r="E152" s="469"/>
      <c r="F152" s="470"/>
      <c r="G152" s="517"/>
    </row>
    <row r="153" spans="1:7" ht="19.899999999999999" customHeight="1" x14ac:dyDescent="0.2">
      <c r="A153" s="516" t="s">
        <v>712</v>
      </c>
      <c r="B153" s="467">
        <f>Contratista</f>
        <v>0</v>
      </c>
      <c r="C153" s="471"/>
      <c r="D153" s="471"/>
      <c r="E153" s="471"/>
      <c r="F153" s="467"/>
      <c r="G153" s="518"/>
    </row>
    <row r="154" spans="1:7" ht="19.899999999999999" customHeight="1" x14ac:dyDescent="0.2">
      <c r="A154" s="516" t="s">
        <v>21</v>
      </c>
      <c r="B154" s="467" t="str">
        <f>Obra</f>
        <v>OBRA BÁSICA Y PAVIMENTACIÓN CALLE GÜEMES</v>
      </c>
      <c r="C154" s="471"/>
      <c r="D154" s="471"/>
      <c r="E154" s="471"/>
      <c r="F154" s="467" t="s">
        <v>32</v>
      </c>
      <c r="G154" s="518">
        <f>Fecha_Base</f>
        <v>0</v>
      </c>
    </row>
    <row r="155" spans="1:7" ht="19.899999999999999" customHeight="1" x14ac:dyDescent="0.2">
      <c r="A155" s="519" t="s">
        <v>710</v>
      </c>
      <c r="B155" s="472" t="str">
        <f>Ubicación</f>
        <v>Rawson - Santa Lucia</v>
      </c>
      <c r="C155" s="472"/>
      <c r="D155" s="473"/>
      <c r="E155" s="474"/>
      <c r="F155" s="475"/>
      <c r="G155" s="520"/>
    </row>
    <row r="156" spans="1:7" ht="19.899999999999999" customHeight="1" x14ac:dyDescent="0.2">
      <c r="A156" s="519" t="s">
        <v>33</v>
      </c>
      <c r="B156" s="476" t="str">
        <f>IFERROR(VALUE(LEFT(B157,FIND(".",B157)-1)),"")</f>
        <v/>
      </c>
      <c r="C156" s="175">
        <f ca="1">IFERROR(VLOOKUP(B156,T_Computo_Presupuesto,2,FALSE),0)</f>
        <v>0</v>
      </c>
      <c r="D156" s="175"/>
      <c r="E156" s="474"/>
      <c r="F156" s="475"/>
      <c r="G156" s="520"/>
    </row>
    <row r="157" spans="1:7" ht="19.899999999999999" customHeight="1" x14ac:dyDescent="0.2">
      <c r="A157" s="519" t="s">
        <v>22</v>
      </c>
      <c r="B157" s="477">
        <f>IFERROR(VLOOKUP(COUNTIF($A$1:A157,"ANALISIS DE PRECIOS"),T_NumeroItem,2,FALSE),"")</f>
        <v>3</v>
      </c>
      <c r="C157" s="719" t="str">
        <f ca="1">IFERROR(VLOOKUP(B157,T_Computo_Presupuesto,2,FALSE),0)</f>
        <v>Excavación No Clasificada</v>
      </c>
      <c r="D157" s="719"/>
      <c r="E157" s="719"/>
      <c r="F157" s="472" t="s">
        <v>23</v>
      </c>
      <c r="G157" s="521" t="str">
        <f ca="1">IFERROR(VLOOKUP(B157,T_Computo_Presupuesto,4,FALSE),0)</f>
        <v>m3</v>
      </c>
    </row>
    <row r="158" spans="1:7" ht="19.899999999999999" customHeight="1" x14ac:dyDescent="0.2">
      <c r="A158" s="519"/>
      <c r="B158" s="472"/>
      <c r="C158" s="175"/>
      <c r="D158" s="473"/>
      <c r="E158" s="474"/>
      <c r="F158" s="175"/>
      <c r="G158" s="522"/>
    </row>
    <row r="159" spans="1:7" ht="19.899999999999999" customHeight="1" x14ac:dyDescent="0.2">
      <c r="A159" s="523"/>
      <c r="B159" s="478"/>
      <c r="C159" s="479" t="s">
        <v>999</v>
      </c>
      <c r="D159" s="478"/>
      <c r="E159" s="478"/>
      <c r="F159" s="478"/>
      <c r="G159" s="524"/>
    </row>
    <row r="160" spans="1:7" ht="19.899999999999999" customHeight="1" x14ac:dyDescent="0.2">
      <c r="A160" s="519"/>
      <c r="B160" s="480"/>
      <c r="C160" s="175"/>
      <c r="D160" s="473"/>
      <c r="E160" s="474"/>
      <c r="F160" s="472"/>
      <c r="G160" s="521"/>
    </row>
    <row r="161" spans="1:7" ht="19.899999999999999" customHeight="1" x14ac:dyDescent="0.2">
      <c r="A161" s="519"/>
      <c r="B161" s="480"/>
      <c r="C161" s="481" t="s">
        <v>1000</v>
      </c>
      <c r="D161" s="482" t="s">
        <v>24</v>
      </c>
      <c r="E161" s="482" t="s">
        <v>1001</v>
      </c>
      <c r="F161" s="482" t="s">
        <v>1002</v>
      </c>
      <c r="G161" s="481" t="s">
        <v>1003</v>
      </c>
    </row>
    <row r="162" spans="1:7"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x14ac:dyDescent="0.2">
      <c r="A163" s="519"/>
      <c r="B163" s="480"/>
      <c r="C163" s="483"/>
      <c r="D163" s="484"/>
      <c r="E163" s="485">
        <f t="shared" si="34"/>
        <v>0</v>
      </c>
      <c r="F163" s="486">
        <f t="shared" si="35"/>
        <v>0</v>
      </c>
      <c r="G163" s="486">
        <f>ROUND(D163*F163,2)</f>
        <v>0</v>
      </c>
    </row>
    <row r="164" spans="1:7" ht="19.899999999999999" customHeight="1" x14ac:dyDescent="0.2">
      <c r="A164" s="519"/>
      <c r="B164" s="480"/>
      <c r="C164" s="483"/>
      <c r="D164" s="484"/>
      <c r="E164" s="485">
        <f t="shared" si="34"/>
        <v>0</v>
      </c>
      <c r="F164" s="486">
        <f t="shared" si="35"/>
        <v>0</v>
      </c>
      <c r="G164" s="486">
        <f>ROUND(D164*F164,2)</f>
        <v>0</v>
      </c>
    </row>
    <row r="165" spans="1:7" ht="19.899999999999999" customHeight="1" x14ac:dyDescent="0.2">
      <c r="A165" s="519"/>
      <c r="B165" s="480"/>
      <c r="C165" s="483"/>
      <c r="D165" s="484"/>
      <c r="E165" s="485">
        <f t="shared" si="34"/>
        <v>0</v>
      </c>
      <c r="F165" s="486">
        <f t="shared" si="35"/>
        <v>0</v>
      </c>
      <c r="G165" s="486">
        <f>ROUND(D165*F165,2)</f>
        <v>0</v>
      </c>
    </row>
    <row r="166" spans="1:7" ht="19.899999999999999" customHeight="1" x14ac:dyDescent="0.2">
      <c r="A166" s="519"/>
      <c r="B166" s="480"/>
      <c r="C166" s="483"/>
      <c r="D166" s="484"/>
      <c r="E166" s="485">
        <f t="shared" si="34"/>
        <v>0</v>
      </c>
      <c r="F166" s="486">
        <f t="shared" si="35"/>
        <v>0</v>
      </c>
      <c r="G166" s="486">
        <f t="shared" ref="G166:G171" si="36">ROUND(D166*F166,2)</f>
        <v>0</v>
      </c>
    </row>
    <row r="167" spans="1:7" ht="19.899999999999999" customHeight="1" x14ac:dyDescent="0.2">
      <c r="A167" s="519"/>
      <c r="B167" s="480"/>
      <c r="C167" s="483"/>
      <c r="D167" s="484"/>
      <c r="E167" s="485">
        <f t="shared" si="34"/>
        <v>0</v>
      </c>
      <c r="F167" s="486">
        <f t="shared" si="35"/>
        <v>0</v>
      </c>
      <c r="G167" s="486">
        <f t="shared" si="36"/>
        <v>0</v>
      </c>
    </row>
    <row r="168" spans="1:7" ht="19.899999999999999" customHeight="1" x14ac:dyDescent="0.2">
      <c r="A168" s="519"/>
      <c r="B168" s="480"/>
      <c r="C168" s="483"/>
      <c r="D168" s="484"/>
      <c r="E168" s="485">
        <f t="shared" si="34"/>
        <v>0</v>
      </c>
      <c r="F168" s="486">
        <f t="shared" si="35"/>
        <v>0</v>
      </c>
      <c r="G168" s="486">
        <f t="shared" si="36"/>
        <v>0</v>
      </c>
    </row>
    <row r="169" spans="1:7" ht="19.899999999999999" customHeight="1" x14ac:dyDescent="0.2">
      <c r="A169" s="519"/>
      <c r="B169" s="480"/>
      <c r="C169" s="483"/>
      <c r="D169" s="484"/>
      <c r="E169" s="485">
        <f t="shared" si="34"/>
        <v>0</v>
      </c>
      <c r="F169" s="486">
        <f t="shared" si="35"/>
        <v>0</v>
      </c>
      <c r="G169" s="486">
        <f t="shared" si="36"/>
        <v>0</v>
      </c>
    </row>
    <row r="170" spans="1:7" ht="19.899999999999999" customHeight="1" x14ac:dyDescent="0.2">
      <c r="A170" s="519"/>
      <c r="B170" s="480"/>
      <c r="C170" s="483"/>
      <c r="D170" s="484"/>
      <c r="E170" s="485">
        <f t="shared" si="34"/>
        <v>0</v>
      </c>
      <c r="F170" s="486">
        <f t="shared" si="35"/>
        <v>0</v>
      </c>
      <c r="G170" s="486">
        <f t="shared" si="36"/>
        <v>0</v>
      </c>
    </row>
    <row r="171" spans="1:7" ht="19.899999999999999" customHeight="1" x14ac:dyDescent="0.2">
      <c r="A171" s="519"/>
      <c r="B171" s="480"/>
      <c r="C171" s="483"/>
      <c r="D171" s="484"/>
      <c r="E171" s="485">
        <f t="shared" si="34"/>
        <v>0</v>
      </c>
      <c r="F171" s="486">
        <f t="shared" si="35"/>
        <v>0</v>
      </c>
      <c r="G171" s="486">
        <f t="shared" si="36"/>
        <v>0</v>
      </c>
    </row>
    <row r="172" spans="1:7" ht="19.899999999999999" customHeight="1" x14ac:dyDescent="0.2">
      <c r="A172" s="519"/>
      <c r="B172" s="480"/>
      <c r="C172" s="175"/>
      <c r="D172" s="175"/>
      <c r="E172" s="487"/>
      <c r="F172" s="472"/>
      <c r="G172" s="521"/>
    </row>
    <row r="173" spans="1:7" ht="19.899999999999999" customHeight="1" x14ac:dyDescent="0.2">
      <c r="A173" s="519"/>
      <c r="B173" s="175"/>
      <c r="C173" s="469" t="s">
        <v>1004</v>
      </c>
      <c r="D173" s="472" t="s">
        <v>1001</v>
      </c>
      <c r="E173" s="538">
        <f>SUMPRODUCT(D162:D171,E162:E171)</f>
        <v>0</v>
      </c>
      <c r="F173" s="472" t="s">
        <v>1005</v>
      </c>
      <c r="G173" s="539">
        <f>SUM(G162:G171)</f>
        <v>0</v>
      </c>
    </row>
    <row r="174" spans="1:7" ht="19.899999999999999" customHeight="1" x14ac:dyDescent="0.2">
      <c r="A174" s="519"/>
      <c r="B174" s="480"/>
      <c r="C174" s="488"/>
      <c r="D174" s="487"/>
      <c r="E174" s="474"/>
      <c r="F174" s="472"/>
      <c r="G174" s="525"/>
    </row>
    <row r="175" spans="1:7" ht="19.899999999999999" customHeight="1" x14ac:dyDescent="0.2">
      <c r="A175" s="526"/>
      <c r="B175" s="480"/>
      <c r="C175" s="472" t="s">
        <v>1006</v>
      </c>
      <c r="D175" s="489">
        <f>IFERROR(VLOOKUP(COUNTIF($A$1:A175,"ANALISIS DE PRECIOS"),T_Rendimiento_Equipo,5,FALSE),0)</f>
        <v>0</v>
      </c>
      <c r="E175" s="490" t="str">
        <f ca="1">G157&amp;"/día"</f>
        <v>m3/día</v>
      </c>
      <c r="F175" s="466"/>
      <c r="G175" s="521"/>
    </row>
    <row r="176" spans="1:7" ht="19.899999999999999" customHeight="1" x14ac:dyDescent="0.2">
      <c r="A176" s="519"/>
      <c r="B176" s="480"/>
      <c r="C176" s="175"/>
      <c r="D176" s="473"/>
      <c r="E176" s="474"/>
      <c r="F176" s="472"/>
      <c r="G176" s="521"/>
    </row>
    <row r="177" spans="1:7" ht="19.899999999999999" customHeight="1" x14ac:dyDescent="0.2">
      <c r="A177" s="706" t="s">
        <v>576</v>
      </c>
      <c r="B177" s="707"/>
      <c r="C177" s="708" t="s">
        <v>0</v>
      </c>
      <c r="D177" s="720" t="s">
        <v>1866</v>
      </c>
      <c r="E177" s="720" t="s">
        <v>1865</v>
      </c>
      <c r="F177" s="712" t="s">
        <v>1007</v>
      </c>
      <c r="G177" s="714" t="s">
        <v>26</v>
      </c>
    </row>
    <row r="178" spans="1:7" ht="19.899999999999999" customHeight="1" x14ac:dyDescent="0.2">
      <c r="A178" s="491" t="s">
        <v>577</v>
      </c>
      <c r="B178" s="491" t="s">
        <v>578</v>
      </c>
      <c r="C178" s="709"/>
      <c r="D178" s="721"/>
      <c r="E178" s="711"/>
      <c r="F178" s="713"/>
      <c r="G178" s="715"/>
    </row>
    <row r="179" spans="1:7" ht="19.899999999999999" customHeight="1" x14ac:dyDescent="0.2">
      <c r="A179" s="527"/>
      <c r="B179" s="175"/>
      <c r="C179" s="469" t="s">
        <v>1008</v>
      </c>
      <c r="D179" s="474"/>
      <c r="E179" s="474"/>
      <c r="F179" s="175"/>
      <c r="G179" s="528"/>
    </row>
    <row r="180" spans="1:7"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x14ac:dyDescent="0.2">
      <c r="A189" s="530"/>
      <c r="B189" s="473"/>
      <c r="C189" s="175"/>
      <c r="D189" s="473"/>
      <c r="E189" s="474"/>
      <c r="F189" s="495" t="s">
        <v>27</v>
      </c>
      <c r="G189" s="531">
        <f>SUBTOTAL(9,G180:G188)</f>
        <v>0</v>
      </c>
    </row>
    <row r="190" spans="1:7" ht="19.899999999999999" customHeight="1" x14ac:dyDescent="0.2">
      <c r="A190" s="527"/>
      <c r="B190" s="175"/>
      <c r="C190" s="469" t="s">
        <v>713</v>
      </c>
      <c r="D190" s="473"/>
      <c r="E190" s="474"/>
      <c r="F190" s="475"/>
      <c r="G190" s="528"/>
    </row>
    <row r="191" spans="1:7" ht="19.899999999999999" customHeight="1" x14ac:dyDescent="0.2">
      <c r="A191" s="706" t="s">
        <v>576</v>
      </c>
      <c r="B191" s="707"/>
      <c r="C191" s="708" t="s">
        <v>0</v>
      </c>
      <c r="D191" s="710" t="s">
        <v>24</v>
      </c>
      <c r="E191" s="710" t="s">
        <v>1832</v>
      </c>
      <c r="F191" s="712" t="s">
        <v>1007</v>
      </c>
      <c r="G191" s="714" t="s">
        <v>26</v>
      </c>
    </row>
    <row r="192" spans="1:7" ht="19.899999999999999" customHeight="1" x14ac:dyDescent="0.2">
      <c r="A192" s="491" t="s">
        <v>577</v>
      </c>
      <c r="B192" s="491" t="s">
        <v>578</v>
      </c>
      <c r="C192" s="709"/>
      <c r="D192" s="711"/>
      <c r="E192" s="711"/>
      <c r="F192" s="713"/>
      <c r="G192" s="715"/>
    </row>
    <row r="193" spans="1:7"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x14ac:dyDescent="0.2">
      <c r="A200" s="530"/>
      <c r="B200" s="473"/>
      <c r="C200" s="175"/>
      <c r="D200" s="473"/>
      <c r="E200" s="474"/>
      <c r="F200" s="495" t="s">
        <v>28</v>
      </c>
      <c r="G200" s="532">
        <f>SUBTOTAL(9,G193:G199)</f>
        <v>0</v>
      </c>
    </row>
    <row r="201" spans="1:7" ht="19.899999999999999" customHeight="1" x14ac:dyDescent="0.2">
      <c r="A201" s="527"/>
      <c r="B201" s="175"/>
      <c r="C201" s="469" t="s">
        <v>1014</v>
      </c>
      <c r="D201" s="473"/>
      <c r="E201" s="474"/>
      <c r="F201" s="475"/>
      <c r="G201" s="528"/>
    </row>
    <row r="202" spans="1:7" ht="19.899999999999999" customHeight="1" x14ac:dyDescent="0.2">
      <c r="A202" s="706" t="s">
        <v>576</v>
      </c>
      <c r="B202" s="707"/>
      <c r="C202" s="708" t="s">
        <v>0</v>
      </c>
      <c r="D202" s="708" t="s">
        <v>1867</v>
      </c>
      <c r="E202" s="710" t="s">
        <v>24</v>
      </c>
      <c r="F202" s="712" t="s">
        <v>25</v>
      </c>
      <c r="G202" s="714" t="s">
        <v>26</v>
      </c>
    </row>
    <row r="203" spans="1:7" ht="19.899999999999999" customHeight="1" x14ac:dyDescent="0.2">
      <c r="A203" s="491" t="s">
        <v>577</v>
      </c>
      <c r="B203" s="491" t="s">
        <v>578</v>
      </c>
      <c r="C203" s="709"/>
      <c r="D203" s="709"/>
      <c r="E203" s="711"/>
      <c r="F203" s="713"/>
      <c r="G203" s="715"/>
    </row>
    <row r="204" spans="1:7"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x14ac:dyDescent="0.2">
      <c r="A205" s="529">
        <f t="shared" si="45"/>
        <v>0</v>
      </c>
      <c r="B205" s="492">
        <f t="shared" si="46"/>
        <v>0</v>
      </c>
      <c r="C205" s="492"/>
      <c r="D205" s="540">
        <f t="shared" si="47"/>
        <v>0</v>
      </c>
      <c r="E205" s="484"/>
      <c r="F205" s="486">
        <f t="shared" si="48"/>
        <v>0</v>
      </c>
      <c r="G205" s="486">
        <f t="shared" ref="G205:G214" si="49">ROUND(E205*F205,2)</f>
        <v>0</v>
      </c>
    </row>
    <row r="206" spans="1:7" ht="19.899999999999999" customHeight="1" x14ac:dyDescent="0.2">
      <c r="A206" s="529">
        <f t="shared" si="45"/>
        <v>0</v>
      </c>
      <c r="B206" s="492">
        <f t="shared" si="46"/>
        <v>0</v>
      </c>
      <c r="C206" s="492"/>
      <c r="D206" s="540">
        <f t="shared" si="47"/>
        <v>0</v>
      </c>
      <c r="E206" s="484"/>
      <c r="F206" s="486">
        <f t="shared" si="48"/>
        <v>0</v>
      </c>
      <c r="G206" s="486">
        <f t="shared" si="49"/>
        <v>0</v>
      </c>
    </row>
    <row r="207" spans="1:7" ht="19.899999999999999" customHeight="1" x14ac:dyDescent="0.2">
      <c r="A207" s="529">
        <f t="shared" si="45"/>
        <v>0</v>
      </c>
      <c r="B207" s="492">
        <f t="shared" si="46"/>
        <v>0</v>
      </c>
      <c r="C207" s="492"/>
      <c r="D207" s="540">
        <f t="shared" si="47"/>
        <v>0</v>
      </c>
      <c r="E207" s="484"/>
      <c r="F207" s="486">
        <f t="shared" si="48"/>
        <v>0</v>
      </c>
      <c r="G207" s="486">
        <f t="shared" si="49"/>
        <v>0</v>
      </c>
    </row>
    <row r="208" spans="1:7" ht="19.899999999999999" customHeight="1" x14ac:dyDescent="0.2">
      <c r="A208" s="529">
        <f t="shared" si="45"/>
        <v>0</v>
      </c>
      <c r="B208" s="492">
        <f t="shared" si="46"/>
        <v>0</v>
      </c>
      <c r="C208" s="492"/>
      <c r="D208" s="540">
        <f t="shared" si="47"/>
        <v>0</v>
      </c>
      <c r="E208" s="484"/>
      <c r="F208" s="486">
        <f t="shared" si="48"/>
        <v>0</v>
      </c>
      <c r="G208" s="486">
        <f t="shared" si="49"/>
        <v>0</v>
      </c>
    </row>
    <row r="209" spans="1:7" ht="19.899999999999999" customHeight="1" x14ac:dyDescent="0.2">
      <c r="A209" s="529">
        <f t="shared" si="45"/>
        <v>0</v>
      </c>
      <c r="B209" s="492">
        <f t="shared" si="46"/>
        <v>0</v>
      </c>
      <c r="C209" s="492"/>
      <c r="D209" s="540">
        <f t="shared" si="47"/>
        <v>0</v>
      </c>
      <c r="E209" s="484"/>
      <c r="F209" s="486">
        <f t="shared" si="48"/>
        <v>0</v>
      </c>
      <c r="G209" s="486">
        <f t="shared" si="49"/>
        <v>0</v>
      </c>
    </row>
    <row r="210" spans="1:7" ht="19.899999999999999" customHeight="1" x14ac:dyDescent="0.2">
      <c r="A210" s="529">
        <f t="shared" si="45"/>
        <v>0</v>
      </c>
      <c r="B210" s="492">
        <f t="shared" si="46"/>
        <v>0</v>
      </c>
      <c r="C210" s="492"/>
      <c r="D210" s="540">
        <f t="shared" si="47"/>
        <v>0</v>
      </c>
      <c r="E210" s="484"/>
      <c r="F210" s="486">
        <f t="shared" si="48"/>
        <v>0</v>
      </c>
      <c r="G210" s="486">
        <f t="shared" si="49"/>
        <v>0</v>
      </c>
    </row>
    <row r="211" spans="1:7" ht="19.899999999999999" customHeight="1" x14ac:dyDescent="0.2">
      <c r="A211" s="529">
        <f t="shared" si="45"/>
        <v>0</v>
      </c>
      <c r="B211" s="492">
        <f t="shared" si="46"/>
        <v>0</v>
      </c>
      <c r="C211" s="492"/>
      <c r="D211" s="540">
        <f t="shared" si="47"/>
        <v>0</v>
      </c>
      <c r="E211" s="484"/>
      <c r="F211" s="486">
        <f t="shared" si="48"/>
        <v>0</v>
      </c>
      <c r="G211" s="486">
        <f t="shared" si="49"/>
        <v>0</v>
      </c>
    </row>
    <row r="212" spans="1:7" ht="19.899999999999999" customHeight="1" x14ac:dyDescent="0.2">
      <c r="A212" s="529">
        <f t="shared" si="45"/>
        <v>0</v>
      </c>
      <c r="B212" s="492">
        <f t="shared" si="46"/>
        <v>0</v>
      </c>
      <c r="C212" s="492"/>
      <c r="D212" s="540">
        <f t="shared" si="47"/>
        <v>0</v>
      </c>
      <c r="E212" s="484"/>
      <c r="F212" s="486">
        <f t="shared" si="48"/>
        <v>0</v>
      </c>
      <c r="G212" s="486">
        <f t="shared" si="49"/>
        <v>0</v>
      </c>
    </row>
    <row r="213" spans="1:7" ht="19.899999999999999" customHeight="1" x14ac:dyDescent="0.2">
      <c r="A213" s="529">
        <f t="shared" si="45"/>
        <v>0</v>
      </c>
      <c r="B213" s="492">
        <f t="shared" si="46"/>
        <v>0</v>
      </c>
      <c r="C213" s="492"/>
      <c r="D213" s="540">
        <f t="shared" si="47"/>
        <v>0</v>
      </c>
      <c r="E213" s="484"/>
      <c r="F213" s="486">
        <f t="shared" si="48"/>
        <v>0</v>
      </c>
      <c r="G213" s="486">
        <f t="shared" si="49"/>
        <v>0</v>
      </c>
    </row>
    <row r="214" spans="1:7" ht="19.899999999999999" customHeight="1" x14ac:dyDescent="0.2">
      <c r="A214" s="529">
        <f t="shared" si="45"/>
        <v>0</v>
      </c>
      <c r="B214" s="492">
        <f t="shared" si="46"/>
        <v>0</v>
      </c>
      <c r="C214" s="492"/>
      <c r="D214" s="540">
        <f t="shared" si="47"/>
        <v>0</v>
      </c>
      <c r="E214" s="484"/>
      <c r="F214" s="486">
        <f t="shared" si="48"/>
        <v>0</v>
      </c>
      <c r="G214" s="486">
        <f t="shared" si="49"/>
        <v>0</v>
      </c>
    </row>
    <row r="215" spans="1:7" ht="19.899999999999999" customHeight="1" x14ac:dyDescent="0.2">
      <c r="A215" s="527"/>
      <c r="B215" s="175"/>
      <c r="C215" s="175"/>
      <c r="D215" s="473"/>
      <c r="E215" s="474"/>
      <c r="F215" s="495" t="s">
        <v>29</v>
      </c>
      <c r="G215" s="532">
        <f>SUBTOTAL(9,G204:G214)</f>
        <v>0</v>
      </c>
    </row>
    <row r="216" spans="1:7" ht="19.899999999999999" customHeight="1" x14ac:dyDescent="0.2">
      <c r="A216" s="527"/>
      <c r="B216" s="175"/>
      <c r="C216" s="469" t="s">
        <v>1015</v>
      </c>
      <c r="D216" s="473"/>
      <c r="E216" s="474"/>
      <c r="F216" s="475"/>
      <c r="G216" s="528"/>
    </row>
    <row r="217" spans="1:7" ht="19.899999999999999" customHeight="1" x14ac:dyDescent="0.2">
      <c r="A217" s="706" t="s">
        <v>576</v>
      </c>
      <c r="B217" s="707"/>
      <c r="C217" s="708" t="s">
        <v>0</v>
      </c>
      <c r="D217" s="708" t="s">
        <v>1867</v>
      </c>
      <c r="E217" s="710" t="s">
        <v>24</v>
      </c>
      <c r="F217" s="712" t="s">
        <v>25</v>
      </c>
      <c r="G217" s="714" t="s">
        <v>26</v>
      </c>
    </row>
    <row r="218" spans="1:7" ht="19.899999999999999" customHeight="1" x14ac:dyDescent="0.2">
      <c r="A218" s="491" t="s">
        <v>577</v>
      </c>
      <c r="B218" s="491" t="s">
        <v>578</v>
      </c>
      <c r="C218" s="709"/>
      <c r="D218" s="709"/>
      <c r="E218" s="711"/>
      <c r="F218" s="713"/>
      <c r="G218" s="715"/>
    </row>
    <row r="219" spans="1:7"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x14ac:dyDescent="0.2">
      <c r="A221" s="527"/>
      <c r="B221" s="175"/>
      <c r="C221" s="175"/>
      <c r="D221" s="473"/>
      <c r="E221" s="474"/>
      <c r="F221" s="495" t="s">
        <v>1016</v>
      </c>
      <c r="G221" s="532">
        <f>SUBTOTAL(9,G219:G220)</f>
        <v>0</v>
      </c>
    </row>
    <row r="222" spans="1:7" ht="19.899999999999999" customHeight="1" x14ac:dyDescent="0.2">
      <c r="A222" s="530"/>
      <c r="B222" s="473"/>
      <c r="C222" s="175"/>
      <c r="D222" s="473"/>
      <c r="E222" s="474"/>
      <c r="F222" s="475"/>
      <c r="G222" s="528"/>
    </row>
    <row r="223" spans="1:7" ht="19.899999999999999" customHeight="1" x14ac:dyDescent="0.2">
      <c r="A223" s="588">
        <f>B157</f>
        <v>3</v>
      </c>
      <c r="B223" s="585" t="str">
        <f ca="1">C157</f>
        <v>Excavación No Clasificada</v>
      </c>
      <c r="C223" s="473"/>
      <c r="D223" s="473" t="s">
        <v>1833</v>
      </c>
      <c r="E223" s="586"/>
      <c r="F223" s="587" t="str">
        <f ca="1">"$/"&amp;G157</f>
        <v>$/m3</v>
      </c>
      <c r="G223" s="537">
        <f>SUBTOTAL(9,G180:G222)</f>
        <v>0</v>
      </c>
    </row>
    <row r="224" spans="1:7" ht="19.899999999999999" customHeight="1" x14ac:dyDescent="0.2">
      <c r="A224" s="533"/>
      <c r="B224" s="534"/>
      <c r="C224" s="535"/>
      <c r="D224" s="535" t="s">
        <v>2043</v>
      </c>
      <c r="E224" s="536"/>
      <c r="F224" s="589" t="str">
        <f ca="1">"$/"&amp;G157</f>
        <v>$/m3</v>
      </c>
      <c r="G224" s="537">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16" t="s">
        <v>31</v>
      </c>
      <c r="B226" s="717"/>
      <c r="C226" s="717"/>
      <c r="D226" s="717"/>
      <c r="E226" s="717"/>
      <c r="F226" s="717"/>
      <c r="G226" s="718"/>
    </row>
    <row r="227" spans="1:7" ht="19.899999999999999" customHeight="1" x14ac:dyDescent="0.2">
      <c r="A227" s="516" t="s">
        <v>711</v>
      </c>
      <c r="B227" s="467" t="str">
        <f>Comitente</f>
        <v>DIRECCIÓN PROVINCIAL DE VIALIDAD</v>
      </c>
      <c r="C227" s="468"/>
      <c r="D227" s="469"/>
      <c r="E227" s="469"/>
      <c r="F227" s="470"/>
      <c r="G227" s="517"/>
    </row>
    <row r="228" spans="1:7" ht="19.899999999999999" customHeight="1" x14ac:dyDescent="0.2">
      <c r="A228" s="516" t="s">
        <v>712</v>
      </c>
      <c r="B228" s="467">
        <f>Contratista</f>
        <v>0</v>
      </c>
      <c r="C228" s="471"/>
      <c r="D228" s="471"/>
      <c r="E228" s="471"/>
      <c r="F228" s="467"/>
      <c r="G228" s="518"/>
    </row>
    <row r="229" spans="1:7" ht="19.899999999999999" customHeight="1" x14ac:dyDescent="0.2">
      <c r="A229" s="516" t="s">
        <v>21</v>
      </c>
      <c r="B229" s="467" t="str">
        <f>Obra</f>
        <v>OBRA BÁSICA Y PAVIMENTACIÓN CALLE GÜEMES</v>
      </c>
      <c r="C229" s="471"/>
      <c r="D229" s="471"/>
      <c r="E229" s="471"/>
      <c r="F229" s="467" t="s">
        <v>32</v>
      </c>
      <c r="G229" s="518">
        <f>Fecha_Base</f>
        <v>0</v>
      </c>
    </row>
    <row r="230" spans="1:7" ht="19.899999999999999" customHeight="1" x14ac:dyDescent="0.2">
      <c r="A230" s="519" t="s">
        <v>710</v>
      </c>
      <c r="B230" s="472" t="str">
        <f>Ubicación</f>
        <v>Rawson - Santa Lucia</v>
      </c>
      <c r="C230" s="472"/>
      <c r="D230" s="473"/>
      <c r="E230" s="474"/>
      <c r="F230" s="475"/>
      <c r="G230" s="520"/>
    </row>
    <row r="231" spans="1:7" ht="19.899999999999999" customHeight="1" x14ac:dyDescent="0.2">
      <c r="A231" s="519" t="s">
        <v>33</v>
      </c>
      <c r="B231" s="476" t="str">
        <f>IFERROR(VALUE(LEFT(B232,FIND(".",B232)-1)),"")</f>
        <v/>
      </c>
      <c r="C231" s="175">
        <f ca="1">IFERROR(VLOOKUP(B231,T_Computo_Presupuesto,2,FALSE),0)</f>
        <v>0</v>
      </c>
      <c r="D231" s="175"/>
      <c r="E231" s="474"/>
      <c r="F231" s="475"/>
      <c r="G231" s="520"/>
    </row>
    <row r="232" spans="1:7" ht="19.899999999999999" customHeight="1" x14ac:dyDescent="0.2">
      <c r="A232" s="519" t="s">
        <v>22</v>
      </c>
      <c r="B232" s="477">
        <f>IFERROR(VLOOKUP(COUNTIF($A$1:A232,"ANALISIS DE PRECIOS"),T_NumeroItem,2,FALSE),"")</f>
        <v>4</v>
      </c>
      <c r="C232" s="719" t="str">
        <f ca="1">IFERROR(VLOOKUP(B232,T_Computo_Presupuesto,2,FALSE),0)</f>
        <v>Construcción de Subbase Estabilizada Granular</v>
      </c>
      <c r="D232" s="719"/>
      <c r="E232" s="719"/>
      <c r="F232" s="472" t="s">
        <v>23</v>
      </c>
      <c r="G232" s="521" t="str">
        <f ca="1">IFERROR(VLOOKUP(B232,T_Computo_Presupuesto,4,FALSE),0)</f>
        <v>m3</v>
      </c>
    </row>
    <row r="233" spans="1:7" ht="19.899999999999999" customHeight="1" x14ac:dyDescent="0.2">
      <c r="A233" s="519"/>
      <c r="B233" s="472"/>
      <c r="C233" s="175"/>
      <c r="D233" s="473"/>
      <c r="E233" s="474"/>
      <c r="F233" s="175"/>
      <c r="G233" s="522"/>
    </row>
    <row r="234" spans="1:7" ht="19.899999999999999" customHeight="1" x14ac:dyDescent="0.2">
      <c r="A234" s="523"/>
      <c r="B234" s="478"/>
      <c r="C234" s="479" t="s">
        <v>999</v>
      </c>
      <c r="D234" s="478"/>
      <c r="E234" s="478"/>
      <c r="F234" s="478"/>
      <c r="G234" s="524"/>
    </row>
    <row r="235" spans="1:7" ht="19.899999999999999" customHeight="1" x14ac:dyDescent="0.2">
      <c r="A235" s="519"/>
      <c r="B235" s="480"/>
      <c r="C235" s="175"/>
      <c r="D235" s="473"/>
      <c r="E235" s="474"/>
      <c r="F235" s="472"/>
      <c r="G235" s="521"/>
    </row>
    <row r="236" spans="1:7" ht="19.899999999999999" customHeight="1" x14ac:dyDescent="0.2">
      <c r="A236" s="519"/>
      <c r="B236" s="480"/>
      <c r="C236" s="481" t="s">
        <v>1000</v>
      </c>
      <c r="D236" s="482" t="s">
        <v>24</v>
      </c>
      <c r="E236" s="482" t="s">
        <v>1001</v>
      </c>
      <c r="F236" s="482" t="s">
        <v>1002</v>
      </c>
      <c r="G236" s="481" t="s">
        <v>1003</v>
      </c>
    </row>
    <row r="237" spans="1:7"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x14ac:dyDescent="0.2">
      <c r="A238" s="519"/>
      <c r="B238" s="480"/>
      <c r="C238" s="483"/>
      <c r="D238" s="484"/>
      <c r="E238" s="485">
        <f t="shared" si="51"/>
        <v>0</v>
      </c>
      <c r="F238" s="486">
        <f t="shared" si="52"/>
        <v>0</v>
      </c>
      <c r="G238" s="486">
        <f>ROUND(D238*F238,2)</f>
        <v>0</v>
      </c>
    </row>
    <row r="239" spans="1:7" ht="19.899999999999999" customHeight="1" x14ac:dyDescent="0.2">
      <c r="A239" s="519"/>
      <c r="B239" s="480"/>
      <c r="C239" s="483"/>
      <c r="D239" s="484"/>
      <c r="E239" s="485">
        <f t="shared" si="51"/>
        <v>0</v>
      </c>
      <c r="F239" s="486">
        <f t="shared" si="52"/>
        <v>0</v>
      </c>
      <c r="G239" s="486">
        <f>ROUND(D239*F239,2)</f>
        <v>0</v>
      </c>
    </row>
    <row r="240" spans="1:7"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1004</v>
      </c>
      <c r="D248" s="472" t="s">
        <v>1001</v>
      </c>
      <c r="E248" s="538">
        <f>SUMPRODUCT(D237:D246,E237:E246)</f>
        <v>0</v>
      </c>
      <c r="F248" s="472" t="s">
        <v>1005</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1006</v>
      </c>
      <c r="D250" s="489">
        <f>IFERROR(VLOOKUP(COUNTIF($A$1:A250,"ANALISIS DE PRECIOS"),T_Rendimiento_Equipo,5,FALSE),0)</f>
        <v>0</v>
      </c>
      <c r="E250" s="490" t="str">
        <f ca="1">G232&amp;"/día"</f>
        <v>m3/día</v>
      </c>
      <c r="F250" s="466"/>
      <c r="G250" s="521"/>
    </row>
    <row r="251" spans="1:7" ht="19.899999999999999" customHeight="1" x14ac:dyDescent="0.2">
      <c r="A251" s="519"/>
      <c r="B251" s="480"/>
      <c r="C251" s="175"/>
      <c r="D251" s="473"/>
      <c r="E251" s="474"/>
      <c r="F251" s="472"/>
      <c r="G251" s="521"/>
    </row>
    <row r="252" spans="1:7" ht="19.899999999999999" customHeight="1" x14ac:dyDescent="0.2">
      <c r="A252" s="706" t="s">
        <v>576</v>
      </c>
      <c r="B252" s="707"/>
      <c r="C252" s="708" t="s">
        <v>0</v>
      </c>
      <c r="D252" s="720" t="s">
        <v>1866</v>
      </c>
      <c r="E252" s="720" t="s">
        <v>1865</v>
      </c>
      <c r="F252" s="712" t="s">
        <v>1007</v>
      </c>
      <c r="G252" s="714" t="s">
        <v>26</v>
      </c>
    </row>
    <row r="253" spans="1:7" ht="19.899999999999999" customHeight="1" x14ac:dyDescent="0.2">
      <c r="A253" s="491" t="s">
        <v>577</v>
      </c>
      <c r="B253" s="491" t="s">
        <v>578</v>
      </c>
      <c r="C253" s="709"/>
      <c r="D253" s="721"/>
      <c r="E253" s="711"/>
      <c r="F253" s="713"/>
      <c r="G253" s="715"/>
    </row>
    <row r="254" spans="1:7" ht="19.899999999999999" customHeight="1" x14ac:dyDescent="0.2">
      <c r="A254" s="527"/>
      <c r="B254" s="175"/>
      <c r="C254" s="469" t="s">
        <v>1008</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27</v>
      </c>
      <c r="G264" s="531">
        <f>SUBTOTAL(9,G255:G263)</f>
        <v>0</v>
      </c>
    </row>
    <row r="265" spans="1:7" ht="19.899999999999999" customHeight="1" x14ac:dyDescent="0.2">
      <c r="A265" s="527"/>
      <c r="B265" s="175"/>
      <c r="C265" s="469" t="s">
        <v>713</v>
      </c>
      <c r="D265" s="473"/>
      <c r="E265" s="474"/>
      <c r="F265" s="475"/>
      <c r="G265" s="528"/>
    </row>
    <row r="266" spans="1:7" ht="19.899999999999999" customHeight="1" x14ac:dyDescent="0.2">
      <c r="A266" s="706" t="s">
        <v>576</v>
      </c>
      <c r="B266" s="707"/>
      <c r="C266" s="708" t="s">
        <v>0</v>
      </c>
      <c r="D266" s="710" t="s">
        <v>24</v>
      </c>
      <c r="E266" s="710" t="s">
        <v>1832</v>
      </c>
      <c r="F266" s="712" t="s">
        <v>1007</v>
      </c>
      <c r="G266" s="714" t="s">
        <v>26</v>
      </c>
    </row>
    <row r="267" spans="1:7" ht="19.899999999999999" customHeight="1" x14ac:dyDescent="0.2">
      <c r="A267" s="491" t="s">
        <v>577</v>
      </c>
      <c r="B267" s="491" t="s">
        <v>578</v>
      </c>
      <c r="C267" s="709"/>
      <c r="D267" s="711"/>
      <c r="E267" s="711"/>
      <c r="F267" s="713"/>
      <c r="G267" s="715"/>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28</v>
      </c>
      <c r="G275" s="532">
        <f>SUBTOTAL(9,G268:G274)</f>
        <v>0</v>
      </c>
    </row>
    <row r="276" spans="1:7" ht="19.899999999999999" customHeight="1" x14ac:dyDescent="0.2">
      <c r="A276" s="527"/>
      <c r="B276" s="175"/>
      <c r="C276" s="469" t="s">
        <v>1014</v>
      </c>
      <c r="D276" s="473"/>
      <c r="E276" s="474"/>
      <c r="F276" s="475"/>
      <c r="G276" s="528"/>
    </row>
    <row r="277" spans="1:7" ht="19.899999999999999" customHeight="1" x14ac:dyDescent="0.2">
      <c r="A277" s="706" t="s">
        <v>576</v>
      </c>
      <c r="B277" s="707"/>
      <c r="C277" s="708" t="s">
        <v>0</v>
      </c>
      <c r="D277" s="708" t="s">
        <v>1867</v>
      </c>
      <c r="E277" s="710" t="s">
        <v>24</v>
      </c>
      <c r="F277" s="712" t="s">
        <v>25</v>
      </c>
      <c r="G277" s="714" t="s">
        <v>26</v>
      </c>
    </row>
    <row r="278" spans="1:7" ht="19.899999999999999" customHeight="1" x14ac:dyDescent="0.2">
      <c r="A278" s="491" t="s">
        <v>577</v>
      </c>
      <c r="B278" s="491" t="s">
        <v>578</v>
      </c>
      <c r="C278" s="709"/>
      <c r="D278" s="709"/>
      <c r="E278" s="711"/>
      <c r="F278" s="713"/>
      <c r="G278" s="715"/>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8" ht="19.899999999999999" customHeight="1" x14ac:dyDescent="0.2">
      <c r="A289" s="529">
        <f t="shared" si="62"/>
        <v>0</v>
      </c>
      <c r="B289" s="492">
        <f t="shared" si="63"/>
        <v>0</v>
      </c>
      <c r="C289" s="492"/>
      <c r="D289" s="540">
        <f t="shared" si="64"/>
        <v>0</v>
      </c>
      <c r="E289" s="484"/>
      <c r="F289" s="486">
        <f t="shared" si="65"/>
        <v>0</v>
      </c>
      <c r="G289" s="486">
        <f t="shared" si="66"/>
        <v>0</v>
      </c>
    </row>
    <row r="290" spans="1:8" ht="19.899999999999999" customHeight="1" x14ac:dyDescent="0.2">
      <c r="A290" s="527"/>
      <c r="B290" s="175"/>
      <c r="C290" s="175"/>
      <c r="D290" s="473"/>
      <c r="E290" s="474"/>
      <c r="F290" s="495" t="s">
        <v>29</v>
      </c>
      <c r="G290" s="532">
        <f>SUBTOTAL(9,G279:G289)</f>
        <v>0</v>
      </c>
    </row>
    <row r="291" spans="1:8" ht="19.899999999999999" customHeight="1" x14ac:dyDescent="0.2">
      <c r="A291" s="527"/>
      <c r="B291" s="175"/>
      <c r="C291" s="469" t="s">
        <v>1015</v>
      </c>
      <c r="D291" s="473"/>
      <c r="E291" s="474"/>
      <c r="F291" s="475"/>
      <c r="G291" s="528"/>
    </row>
    <row r="292" spans="1:8" ht="19.899999999999999" customHeight="1" x14ac:dyDescent="0.2">
      <c r="A292" s="706" t="s">
        <v>576</v>
      </c>
      <c r="B292" s="707"/>
      <c r="C292" s="708" t="s">
        <v>0</v>
      </c>
      <c r="D292" s="708" t="s">
        <v>1867</v>
      </c>
      <c r="E292" s="710" t="s">
        <v>24</v>
      </c>
      <c r="F292" s="712" t="s">
        <v>25</v>
      </c>
      <c r="G292" s="714" t="s">
        <v>26</v>
      </c>
    </row>
    <row r="293" spans="1:8" ht="19.899999999999999" customHeight="1" x14ac:dyDescent="0.2">
      <c r="A293" s="491" t="s">
        <v>577</v>
      </c>
      <c r="B293" s="491" t="s">
        <v>578</v>
      </c>
      <c r="C293" s="709"/>
      <c r="D293" s="709"/>
      <c r="E293" s="711"/>
      <c r="F293" s="713"/>
      <c r="G293" s="715"/>
    </row>
    <row r="294" spans="1:8"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x14ac:dyDescent="0.2">
      <c r="A296" s="527"/>
      <c r="B296" s="175"/>
      <c r="C296" s="175"/>
      <c r="D296" s="473"/>
      <c r="E296" s="474"/>
      <c r="F296" s="495" t="s">
        <v>1016</v>
      </c>
      <c r="G296" s="532">
        <f>SUBTOTAL(9,G294:G295)</f>
        <v>0</v>
      </c>
    </row>
    <row r="297" spans="1:8" ht="19.899999999999999" customHeight="1" x14ac:dyDescent="0.2">
      <c r="A297" s="530"/>
      <c r="B297" s="473"/>
      <c r="C297" s="175"/>
      <c r="D297" s="473"/>
      <c r="E297" s="474"/>
      <c r="F297" s="475"/>
      <c r="G297" s="528"/>
    </row>
    <row r="298" spans="1:8" ht="19.899999999999999" customHeight="1" x14ac:dyDescent="0.2">
      <c r="A298" s="588">
        <f>B232</f>
        <v>4</v>
      </c>
      <c r="B298" s="585" t="str">
        <f ca="1">C232</f>
        <v>Construcción de Subbase Estabilizada Granular</v>
      </c>
      <c r="C298" s="473"/>
      <c r="D298" s="473" t="s">
        <v>1833</v>
      </c>
      <c r="E298" s="586"/>
      <c r="F298" s="587" t="str">
        <f ca="1">"$/"&amp;G232</f>
        <v>$/m3</v>
      </c>
      <c r="G298" s="537">
        <f>SUBTOTAL(9,G255:G297)</f>
        <v>0</v>
      </c>
    </row>
    <row r="299" spans="1:8" ht="19.899999999999999" customHeight="1" x14ac:dyDescent="0.2">
      <c r="A299" s="533"/>
      <c r="B299" s="534"/>
      <c r="C299" s="535"/>
      <c r="D299" s="535" t="s">
        <v>2043</v>
      </c>
      <c r="E299" s="536"/>
      <c r="F299" s="589" t="str">
        <f ca="1">"$/"&amp;G232</f>
        <v>$/m3</v>
      </c>
      <c r="G299" s="537">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16" t="s">
        <v>31</v>
      </c>
      <c r="B301" s="717"/>
      <c r="C301" s="717"/>
      <c r="D301" s="717"/>
      <c r="E301" s="717"/>
      <c r="F301" s="717"/>
      <c r="G301" s="718"/>
      <c r="H301" s="65"/>
    </row>
    <row r="302" spans="1:8" ht="19.899999999999999" customHeight="1" x14ac:dyDescent="0.2">
      <c r="A302" s="516" t="s">
        <v>711</v>
      </c>
      <c r="B302" s="467" t="str">
        <f>Comitente</f>
        <v>DIRECCIÓN PROVINCIAL DE VIALIDAD</v>
      </c>
      <c r="C302" s="468"/>
      <c r="D302" s="469"/>
      <c r="E302" s="469"/>
      <c r="F302" s="470"/>
      <c r="G302" s="517"/>
      <c r="H302" s="65"/>
    </row>
    <row r="303" spans="1:8" ht="19.899999999999999" customHeight="1" x14ac:dyDescent="0.2">
      <c r="A303" s="516" t="s">
        <v>712</v>
      </c>
      <c r="B303" s="467">
        <f>Contratista</f>
        <v>0</v>
      </c>
      <c r="C303" s="471"/>
      <c r="D303" s="471"/>
      <c r="E303" s="471"/>
      <c r="F303" s="467"/>
      <c r="G303" s="518"/>
      <c r="H303" s="65"/>
    </row>
    <row r="304" spans="1:8" ht="19.899999999999999" customHeight="1" x14ac:dyDescent="0.2">
      <c r="A304" s="516" t="s">
        <v>21</v>
      </c>
      <c r="B304" s="467" t="str">
        <f>Obra</f>
        <v>OBRA BÁSICA Y PAVIMENTACIÓN CALLE GÜEMES</v>
      </c>
      <c r="C304" s="471"/>
      <c r="D304" s="471"/>
      <c r="E304" s="471"/>
      <c r="F304" s="467" t="s">
        <v>32</v>
      </c>
      <c r="G304" s="518">
        <f>Fecha_Base</f>
        <v>0</v>
      </c>
      <c r="H304" s="65"/>
    </row>
    <row r="305" spans="1:8" ht="19.899999999999999" customHeight="1" x14ac:dyDescent="0.2">
      <c r="A305" s="519" t="s">
        <v>710</v>
      </c>
      <c r="B305" s="472" t="str">
        <f>Ubicación</f>
        <v>Rawson - Santa Lucia</v>
      </c>
      <c r="C305" s="472"/>
      <c r="D305" s="473"/>
      <c r="E305" s="474"/>
      <c r="F305" s="475"/>
      <c r="G305" s="520"/>
      <c r="H305" s="65"/>
    </row>
    <row r="306" spans="1:8" ht="19.899999999999999" customHeight="1" x14ac:dyDescent="0.2">
      <c r="A306" s="519" t="s">
        <v>33</v>
      </c>
      <c r="B306" s="476" t="str">
        <f>IFERROR(VALUE(LEFT(B307,FIND(".",B307)-1)),"")</f>
        <v/>
      </c>
      <c r="C306" s="175">
        <f ca="1">IFERROR(VLOOKUP(B306,T_Computo_Presupuesto,2,FALSE),0)</f>
        <v>0</v>
      </c>
      <c r="D306" s="175"/>
      <c r="E306" s="474"/>
      <c r="F306" s="475"/>
      <c r="G306" s="520"/>
      <c r="H306" s="65"/>
    </row>
    <row r="307" spans="1:8" ht="19.899999999999999" customHeight="1" x14ac:dyDescent="0.2">
      <c r="A307" s="519" t="s">
        <v>22</v>
      </c>
      <c r="B307" s="477">
        <f>IFERROR(VLOOKUP(COUNTIF($A$1:A307,"ANALISIS DE PRECIOS"),T_NumeroItem,2,FALSE),"")</f>
        <v>5</v>
      </c>
      <c r="C307" s="719" t="str">
        <f ca="1">IFERROR(VLOOKUP(B307,T_Computo_Presupuesto,2,FALSE),0)</f>
        <v>Construcción de Base Estabilizada Granular</v>
      </c>
      <c r="D307" s="719"/>
      <c r="E307" s="719"/>
      <c r="F307" s="472" t="s">
        <v>23</v>
      </c>
      <c r="G307" s="521" t="str">
        <f ca="1">IFERROR(VLOOKUP(B307,T_Computo_Presupuesto,4,FALSE),0)</f>
        <v>m3</v>
      </c>
      <c r="H307" s="65"/>
    </row>
    <row r="308" spans="1:8" ht="19.899999999999999" customHeight="1" x14ac:dyDescent="0.2">
      <c r="A308" s="519"/>
      <c r="B308" s="472"/>
      <c r="C308" s="175"/>
      <c r="D308" s="473"/>
      <c r="E308" s="474"/>
      <c r="F308" s="175"/>
      <c r="G308" s="522"/>
      <c r="H308" s="65"/>
    </row>
    <row r="309" spans="1:8" ht="19.899999999999999" customHeight="1" x14ac:dyDescent="0.2">
      <c r="A309" s="523"/>
      <c r="B309" s="478"/>
      <c r="C309" s="479" t="s">
        <v>999</v>
      </c>
      <c r="D309" s="478"/>
      <c r="E309" s="478"/>
      <c r="F309" s="478"/>
      <c r="G309" s="524"/>
      <c r="H309" s="65"/>
    </row>
    <row r="310" spans="1:8" ht="19.899999999999999" customHeight="1" x14ac:dyDescent="0.2">
      <c r="A310" s="519"/>
      <c r="B310" s="480"/>
      <c r="C310" s="175"/>
      <c r="D310" s="473"/>
      <c r="E310" s="474"/>
      <c r="F310" s="472"/>
      <c r="G310" s="521"/>
      <c r="H310" s="65"/>
    </row>
    <row r="311" spans="1:8" ht="19.899999999999999" customHeight="1" x14ac:dyDescent="0.2">
      <c r="A311" s="519"/>
      <c r="B311" s="480"/>
      <c r="C311" s="481" t="s">
        <v>1000</v>
      </c>
      <c r="D311" s="482" t="s">
        <v>24</v>
      </c>
      <c r="E311" s="482" t="s">
        <v>1001</v>
      </c>
      <c r="F311" s="482" t="s">
        <v>1002</v>
      </c>
      <c r="G311" s="481" t="s">
        <v>1003</v>
      </c>
    </row>
    <row r="312" spans="1:8"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x14ac:dyDescent="0.2">
      <c r="A313" s="519"/>
      <c r="B313" s="480"/>
      <c r="C313" s="483"/>
      <c r="D313" s="484"/>
      <c r="E313" s="485">
        <f t="shared" si="68"/>
        <v>0</v>
      </c>
      <c r="F313" s="486">
        <f t="shared" si="69"/>
        <v>0</v>
      </c>
      <c r="G313" s="486">
        <f>ROUND(D313*F313,2)</f>
        <v>0</v>
      </c>
    </row>
    <row r="314" spans="1:8" ht="19.899999999999999" customHeight="1" x14ac:dyDescent="0.2">
      <c r="A314" s="519"/>
      <c r="B314" s="480"/>
      <c r="C314" s="483"/>
      <c r="D314" s="484"/>
      <c r="E314" s="485">
        <f t="shared" si="68"/>
        <v>0</v>
      </c>
      <c r="F314" s="486">
        <f t="shared" si="69"/>
        <v>0</v>
      </c>
      <c r="G314" s="486">
        <f>ROUND(D314*F314,2)</f>
        <v>0</v>
      </c>
    </row>
    <row r="315" spans="1:8" ht="19.899999999999999" customHeight="1" x14ac:dyDescent="0.2">
      <c r="A315" s="519"/>
      <c r="B315" s="480"/>
      <c r="C315" s="483"/>
      <c r="D315" s="484"/>
      <c r="E315" s="485">
        <f t="shared" si="68"/>
        <v>0</v>
      </c>
      <c r="F315" s="486">
        <f t="shared" si="69"/>
        <v>0</v>
      </c>
      <c r="G315" s="486">
        <f>ROUND(D315*F315,2)</f>
        <v>0</v>
      </c>
    </row>
    <row r="316" spans="1:8" ht="19.899999999999999" customHeight="1" x14ac:dyDescent="0.2">
      <c r="A316" s="519"/>
      <c r="B316" s="480"/>
      <c r="C316" s="483"/>
      <c r="D316" s="484"/>
      <c r="E316" s="485">
        <f t="shared" si="68"/>
        <v>0</v>
      </c>
      <c r="F316" s="486">
        <f t="shared" si="69"/>
        <v>0</v>
      </c>
      <c r="G316" s="486">
        <f t="shared" ref="G316:G321" si="70">ROUND(D316*F316,2)</f>
        <v>0</v>
      </c>
    </row>
    <row r="317" spans="1:8" ht="19.899999999999999" customHeight="1" x14ac:dyDescent="0.2">
      <c r="A317" s="519"/>
      <c r="B317" s="480"/>
      <c r="C317" s="483"/>
      <c r="D317" s="484"/>
      <c r="E317" s="485">
        <f t="shared" si="68"/>
        <v>0</v>
      </c>
      <c r="F317" s="486">
        <f t="shared" si="69"/>
        <v>0</v>
      </c>
      <c r="G317" s="486">
        <f t="shared" si="70"/>
        <v>0</v>
      </c>
    </row>
    <row r="318" spans="1:8" ht="19.899999999999999" customHeight="1" x14ac:dyDescent="0.2">
      <c r="A318" s="519"/>
      <c r="B318" s="480"/>
      <c r="C318" s="483"/>
      <c r="D318" s="484"/>
      <c r="E318" s="485">
        <f t="shared" si="68"/>
        <v>0</v>
      </c>
      <c r="F318" s="486">
        <f t="shared" si="69"/>
        <v>0</v>
      </c>
      <c r="G318" s="486">
        <f t="shared" si="70"/>
        <v>0</v>
      </c>
    </row>
    <row r="319" spans="1:8" ht="19.899999999999999" customHeight="1" x14ac:dyDescent="0.2">
      <c r="A319" s="519"/>
      <c r="B319" s="480"/>
      <c r="C319" s="483"/>
      <c r="D319" s="484"/>
      <c r="E319" s="485">
        <f t="shared" si="68"/>
        <v>0</v>
      </c>
      <c r="F319" s="486">
        <f t="shared" si="69"/>
        <v>0</v>
      </c>
      <c r="G319" s="486">
        <f t="shared" si="70"/>
        <v>0</v>
      </c>
    </row>
    <row r="320" spans="1:8"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1004</v>
      </c>
      <c r="D323" s="472" t="s">
        <v>1001</v>
      </c>
      <c r="E323" s="538">
        <f>SUMPRODUCT(D312:D321,E312:E321)</f>
        <v>0</v>
      </c>
      <c r="F323" s="472" t="s">
        <v>1005</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1006</v>
      </c>
      <c r="D325" s="489">
        <f>IFERROR(VLOOKUP(COUNTIF($A$1:A325,"ANALISIS DE PRECIOS"),T_Rendimiento_Equipo,5,FALSE),0)</f>
        <v>0</v>
      </c>
      <c r="E325" s="490" t="str">
        <f ca="1">G307&amp;"/día"</f>
        <v>m3/día</v>
      </c>
      <c r="F325" s="466"/>
      <c r="G325" s="521"/>
    </row>
    <row r="326" spans="1:7" ht="19.899999999999999" customHeight="1" x14ac:dyDescent="0.2">
      <c r="A326" s="519"/>
      <c r="B326" s="480"/>
      <c r="C326" s="175"/>
      <c r="D326" s="473"/>
      <c r="E326" s="474"/>
      <c r="F326" s="472"/>
      <c r="G326" s="521"/>
    </row>
    <row r="327" spans="1:7" ht="19.899999999999999" customHeight="1" x14ac:dyDescent="0.2">
      <c r="A327" s="706" t="s">
        <v>576</v>
      </c>
      <c r="B327" s="707"/>
      <c r="C327" s="708" t="s">
        <v>0</v>
      </c>
      <c r="D327" s="720" t="s">
        <v>1866</v>
      </c>
      <c r="E327" s="720" t="s">
        <v>1865</v>
      </c>
      <c r="F327" s="712" t="s">
        <v>1007</v>
      </c>
      <c r="G327" s="714" t="s">
        <v>26</v>
      </c>
    </row>
    <row r="328" spans="1:7" ht="19.899999999999999" customHeight="1" x14ac:dyDescent="0.2">
      <c r="A328" s="491" t="s">
        <v>577</v>
      </c>
      <c r="B328" s="491" t="s">
        <v>578</v>
      </c>
      <c r="C328" s="709"/>
      <c r="D328" s="721"/>
      <c r="E328" s="711"/>
      <c r="F328" s="713"/>
      <c r="G328" s="715"/>
    </row>
    <row r="329" spans="1:7" ht="19.899999999999999" customHeight="1" x14ac:dyDescent="0.2">
      <c r="A329" s="527"/>
      <c r="B329" s="175"/>
      <c r="C329" s="469" t="s">
        <v>1008</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27</v>
      </c>
      <c r="G339" s="531">
        <f>SUBTOTAL(9,G330:G338)</f>
        <v>0</v>
      </c>
    </row>
    <row r="340" spans="1:7" ht="19.899999999999999" customHeight="1" x14ac:dyDescent="0.2">
      <c r="A340" s="527"/>
      <c r="B340" s="175"/>
      <c r="C340" s="469" t="s">
        <v>713</v>
      </c>
      <c r="D340" s="473"/>
      <c r="E340" s="474"/>
      <c r="F340" s="475"/>
      <c r="G340" s="528"/>
    </row>
    <row r="341" spans="1:7" ht="19.899999999999999" customHeight="1" x14ac:dyDescent="0.2">
      <c r="A341" s="706" t="s">
        <v>576</v>
      </c>
      <c r="B341" s="707"/>
      <c r="C341" s="708" t="s">
        <v>0</v>
      </c>
      <c r="D341" s="710" t="s">
        <v>24</v>
      </c>
      <c r="E341" s="710" t="s">
        <v>1832</v>
      </c>
      <c r="F341" s="712" t="s">
        <v>1007</v>
      </c>
      <c r="G341" s="714" t="s">
        <v>26</v>
      </c>
    </row>
    <row r="342" spans="1:7" ht="19.899999999999999" customHeight="1" x14ac:dyDescent="0.2">
      <c r="A342" s="491" t="s">
        <v>577</v>
      </c>
      <c r="B342" s="491" t="s">
        <v>578</v>
      </c>
      <c r="C342" s="709"/>
      <c r="D342" s="711"/>
      <c r="E342" s="711"/>
      <c r="F342" s="713"/>
      <c r="G342" s="715"/>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28</v>
      </c>
      <c r="G350" s="532">
        <f>SUBTOTAL(9,G343:G349)</f>
        <v>0</v>
      </c>
    </row>
    <row r="351" spans="1:7" ht="19.899999999999999" customHeight="1" x14ac:dyDescent="0.2">
      <c r="A351" s="527"/>
      <c r="B351" s="175"/>
      <c r="C351" s="469" t="s">
        <v>1014</v>
      </c>
      <c r="D351" s="473"/>
      <c r="E351" s="474"/>
      <c r="F351" s="475"/>
      <c r="G351" s="528"/>
    </row>
    <row r="352" spans="1:7" ht="19.899999999999999" customHeight="1" x14ac:dyDescent="0.2">
      <c r="A352" s="706" t="s">
        <v>576</v>
      </c>
      <c r="B352" s="707"/>
      <c r="C352" s="708" t="s">
        <v>0</v>
      </c>
      <c r="D352" s="708" t="s">
        <v>1867</v>
      </c>
      <c r="E352" s="710" t="s">
        <v>24</v>
      </c>
      <c r="F352" s="712" t="s">
        <v>25</v>
      </c>
      <c r="G352" s="714" t="s">
        <v>26</v>
      </c>
    </row>
    <row r="353" spans="1:7" ht="19.899999999999999" customHeight="1" x14ac:dyDescent="0.2">
      <c r="A353" s="491" t="s">
        <v>577</v>
      </c>
      <c r="B353" s="491" t="s">
        <v>578</v>
      </c>
      <c r="C353" s="709"/>
      <c r="D353" s="709"/>
      <c r="E353" s="711"/>
      <c r="F353" s="713"/>
      <c r="G353" s="715"/>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29</v>
      </c>
      <c r="G365" s="532">
        <f>SUBTOTAL(9,G354:G364)</f>
        <v>0</v>
      </c>
    </row>
    <row r="366" spans="1:7" ht="19.899999999999999" customHeight="1" x14ac:dyDescent="0.2">
      <c r="A366" s="527"/>
      <c r="B366" s="175"/>
      <c r="C366" s="469" t="s">
        <v>1015</v>
      </c>
      <c r="D366" s="473"/>
      <c r="E366" s="474"/>
      <c r="F366" s="475"/>
      <c r="G366" s="528"/>
    </row>
    <row r="367" spans="1:7" ht="19.899999999999999" customHeight="1" x14ac:dyDescent="0.2">
      <c r="A367" s="706" t="s">
        <v>576</v>
      </c>
      <c r="B367" s="707"/>
      <c r="C367" s="708" t="s">
        <v>0</v>
      </c>
      <c r="D367" s="708" t="s">
        <v>1867</v>
      </c>
      <c r="E367" s="710" t="s">
        <v>24</v>
      </c>
      <c r="F367" s="712" t="s">
        <v>25</v>
      </c>
      <c r="G367" s="714" t="s">
        <v>26</v>
      </c>
    </row>
    <row r="368" spans="1:7" ht="19.899999999999999" customHeight="1" x14ac:dyDescent="0.2">
      <c r="A368" s="491" t="s">
        <v>577</v>
      </c>
      <c r="B368" s="491" t="s">
        <v>578</v>
      </c>
      <c r="C368" s="709"/>
      <c r="D368" s="709"/>
      <c r="E368" s="711"/>
      <c r="F368" s="713"/>
      <c r="G368" s="715"/>
    </row>
    <row r="369" spans="1:8"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x14ac:dyDescent="0.2">
      <c r="A371" s="527"/>
      <c r="B371" s="175"/>
      <c r="C371" s="175"/>
      <c r="D371" s="473"/>
      <c r="E371" s="474"/>
      <c r="F371" s="495" t="s">
        <v>1016</v>
      </c>
      <c r="G371" s="532">
        <f>SUBTOTAL(9,G369:G370)</f>
        <v>0</v>
      </c>
      <c r="H371" s="65"/>
    </row>
    <row r="372" spans="1:8" ht="19.899999999999999" customHeight="1" x14ac:dyDescent="0.2">
      <c r="A372" s="530"/>
      <c r="B372" s="473"/>
      <c r="C372" s="175"/>
      <c r="D372" s="473"/>
      <c r="E372" s="474"/>
      <c r="F372" s="475"/>
      <c r="G372" s="528"/>
      <c r="H372" s="65"/>
    </row>
    <row r="373" spans="1:8" ht="19.899999999999999" customHeight="1" x14ac:dyDescent="0.2">
      <c r="A373" s="588">
        <f>B307</f>
        <v>5</v>
      </c>
      <c r="B373" s="585" t="str">
        <f ca="1">C307</f>
        <v>Construcción de Base Estabilizada Granular</v>
      </c>
      <c r="C373" s="473"/>
      <c r="D373" s="473" t="s">
        <v>1833</v>
      </c>
      <c r="E373" s="586"/>
      <c r="F373" s="587" t="str">
        <f ca="1">"$/"&amp;G307</f>
        <v>$/m3</v>
      </c>
      <c r="G373" s="537">
        <f>SUBTOTAL(9,G330:G372)</f>
        <v>0</v>
      </c>
      <c r="H373" s="65"/>
    </row>
    <row r="374" spans="1:8" ht="19.899999999999999" customHeight="1" x14ac:dyDescent="0.2">
      <c r="A374" s="533"/>
      <c r="B374" s="534"/>
      <c r="C374" s="535"/>
      <c r="D374" s="535" t="s">
        <v>2043</v>
      </c>
      <c r="E374" s="536"/>
      <c r="F374" s="589" t="str">
        <f ca="1">"$/"&amp;G307</f>
        <v>$/m3</v>
      </c>
      <c r="G374" s="537">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16" t="s">
        <v>31</v>
      </c>
      <c r="B376" s="717"/>
      <c r="C376" s="717"/>
      <c r="D376" s="717"/>
      <c r="E376" s="717"/>
      <c r="F376" s="717"/>
      <c r="G376" s="718"/>
    </row>
    <row r="377" spans="1:8" ht="19.899999999999999" customHeight="1" x14ac:dyDescent="0.2">
      <c r="A377" s="516" t="s">
        <v>711</v>
      </c>
      <c r="B377" s="467" t="str">
        <f>Comitente</f>
        <v>DIRECCIÓN PROVINCIAL DE VIALIDAD</v>
      </c>
      <c r="C377" s="468"/>
      <c r="D377" s="469"/>
      <c r="E377" s="469"/>
      <c r="F377" s="470"/>
      <c r="G377" s="517"/>
    </row>
    <row r="378" spans="1:8" ht="19.899999999999999" customHeight="1" x14ac:dyDescent="0.2">
      <c r="A378" s="516" t="s">
        <v>712</v>
      </c>
      <c r="B378" s="467">
        <f>Contratista</f>
        <v>0</v>
      </c>
      <c r="C378" s="471"/>
      <c r="D378" s="471"/>
      <c r="E378" s="471"/>
      <c r="F378" s="467"/>
      <c r="G378" s="518"/>
    </row>
    <row r="379" spans="1:8" ht="19.899999999999999" customHeight="1" x14ac:dyDescent="0.2">
      <c r="A379" s="516" t="s">
        <v>21</v>
      </c>
      <c r="B379" s="467" t="str">
        <f>Obra</f>
        <v>OBRA BÁSICA Y PAVIMENTACIÓN CALLE GÜEMES</v>
      </c>
      <c r="C379" s="471"/>
      <c r="D379" s="471"/>
      <c r="E379" s="471"/>
      <c r="F379" s="467" t="s">
        <v>32</v>
      </c>
      <c r="G379" s="518">
        <f>Fecha_Base</f>
        <v>0</v>
      </c>
    </row>
    <row r="380" spans="1:8" ht="19.899999999999999" customHeight="1" x14ac:dyDescent="0.2">
      <c r="A380" s="519" t="s">
        <v>710</v>
      </c>
      <c r="B380" s="472" t="str">
        <f>Ubicación</f>
        <v>Rawson - Santa Lucia</v>
      </c>
      <c r="C380" s="472"/>
      <c r="D380" s="473"/>
      <c r="E380" s="474"/>
      <c r="F380" s="475"/>
      <c r="G380" s="520"/>
    </row>
    <row r="381" spans="1:8" ht="19.899999999999999" customHeight="1" x14ac:dyDescent="0.2">
      <c r="A381" s="519" t="s">
        <v>33</v>
      </c>
      <c r="B381" s="476" t="str">
        <f>IFERROR(VALUE(LEFT(B382,FIND(".",B382)-1)),"")</f>
        <v/>
      </c>
      <c r="C381" s="175">
        <f ca="1">IFERROR(VLOOKUP(B381,T_Computo_Presupuesto,2,FALSE),0)</f>
        <v>0</v>
      </c>
      <c r="D381" s="175"/>
      <c r="E381" s="474"/>
      <c r="F381" s="475"/>
      <c r="G381" s="520"/>
    </row>
    <row r="382" spans="1:8" ht="19.899999999999999" customHeight="1" x14ac:dyDescent="0.2">
      <c r="A382" s="519" t="s">
        <v>22</v>
      </c>
      <c r="B382" s="477">
        <f>IFERROR(VLOOKUP(COUNTIF($A$1:A382,"ANALISIS DE PRECIOS"),T_NumeroItem,2,FALSE),"")</f>
        <v>6</v>
      </c>
      <c r="C382" s="719" t="str">
        <f ca="1">IFERROR(VLOOKUP(B382,T_Computo_Presupuesto,2,FALSE),0)</f>
        <v>Cumplimiento Manejo Ambiental</v>
      </c>
      <c r="D382" s="719"/>
      <c r="E382" s="719"/>
      <c r="F382" s="472" t="s">
        <v>23</v>
      </c>
      <c r="G382" s="521" t="str">
        <f ca="1">IFERROR(VLOOKUP(B382,T_Computo_Presupuesto,4,FALSE),0)</f>
        <v>mes</v>
      </c>
    </row>
    <row r="383" spans="1:8" ht="19.899999999999999" customHeight="1" x14ac:dyDescent="0.2">
      <c r="A383" s="519"/>
      <c r="B383" s="472"/>
      <c r="C383" s="175"/>
      <c r="D383" s="473"/>
      <c r="E383" s="474"/>
      <c r="F383" s="175"/>
      <c r="G383" s="522"/>
    </row>
    <row r="384" spans="1:8" ht="19.899999999999999" customHeight="1" x14ac:dyDescent="0.2">
      <c r="A384" s="523"/>
      <c r="B384" s="478"/>
      <c r="C384" s="479" t="s">
        <v>999</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1000</v>
      </c>
      <c r="D386" s="482" t="s">
        <v>24</v>
      </c>
      <c r="E386" s="482" t="s">
        <v>1001</v>
      </c>
      <c r="F386" s="482" t="s">
        <v>1002</v>
      </c>
      <c r="G386" s="481" t="s">
        <v>1003</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1004</v>
      </c>
      <c r="D398" s="472" t="s">
        <v>1001</v>
      </c>
      <c r="E398" s="538">
        <f>SUMPRODUCT(D387:D396,E387:E396)</f>
        <v>0</v>
      </c>
      <c r="F398" s="472" t="s">
        <v>1005</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1006</v>
      </c>
      <c r="D400" s="489">
        <f>IFERROR(VLOOKUP(COUNTIF($A$1:A400,"ANALISIS DE PRECIOS"),T_Rendimiento_Equipo,5,FALSE),0)</f>
        <v>0</v>
      </c>
      <c r="E400" s="490" t="str">
        <f ca="1">G382&amp;"/día"</f>
        <v>mes/día</v>
      </c>
      <c r="F400" s="466"/>
      <c r="G400" s="521"/>
    </row>
    <row r="401" spans="1:7" ht="19.899999999999999" customHeight="1" x14ac:dyDescent="0.2">
      <c r="A401" s="519"/>
      <c r="B401" s="480"/>
      <c r="C401" s="175"/>
      <c r="D401" s="473"/>
      <c r="E401" s="474"/>
      <c r="F401" s="472"/>
      <c r="G401" s="521"/>
    </row>
    <row r="402" spans="1:7" ht="19.899999999999999" customHeight="1" x14ac:dyDescent="0.2">
      <c r="A402" s="706" t="s">
        <v>576</v>
      </c>
      <c r="B402" s="707"/>
      <c r="C402" s="708" t="s">
        <v>0</v>
      </c>
      <c r="D402" s="720" t="s">
        <v>1866</v>
      </c>
      <c r="E402" s="720" t="s">
        <v>1865</v>
      </c>
      <c r="F402" s="712" t="s">
        <v>1007</v>
      </c>
      <c r="G402" s="714" t="s">
        <v>26</v>
      </c>
    </row>
    <row r="403" spans="1:7" ht="19.899999999999999" customHeight="1" x14ac:dyDescent="0.2">
      <c r="A403" s="491" t="s">
        <v>577</v>
      </c>
      <c r="B403" s="491" t="s">
        <v>578</v>
      </c>
      <c r="C403" s="709"/>
      <c r="D403" s="721"/>
      <c r="E403" s="711"/>
      <c r="F403" s="713"/>
      <c r="G403" s="715"/>
    </row>
    <row r="404" spans="1:7" ht="19.899999999999999" customHeight="1" x14ac:dyDescent="0.2">
      <c r="A404" s="527"/>
      <c r="B404" s="175"/>
      <c r="C404" s="469" t="s">
        <v>1008</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27</v>
      </c>
      <c r="G414" s="531">
        <f>SUBTOTAL(9,G405:G413)</f>
        <v>0</v>
      </c>
    </row>
    <row r="415" spans="1:7" ht="19.899999999999999" customHeight="1" x14ac:dyDescent="0.2">
      <c r="A415" s="527"/>
      <c r="B415" s="175"/>
      <c r="C415" s="469" t="s">
        <v>713</v>
      </c>
      <c r="D415" s="473"/>
      <c r="E415" s="474"/>
      <c r="F415" s="475"/>
      <c r="G415" s="528"/>
    </row>
    <row r="416" spans="1:7" ht="19.899999999999999" customHeight="1" x14ac:dyDescent="0.2">
      <c r="A416" s="706" t="s">
        <v>576</v>
      </c>
      <c r="B416" s="707"/>
      <c r="C416" s="708" t="s">
        <v>0</v>
      </c>
      <c r="D416" s="710" t="s">
        <v>24</v>
      </c>
      <c r="E416" s="710" t="s">
        <v>1832</v>
      </c>
      <c r="F416" s="712" t="s">
        <v>1007</v>
      </c>
      <c r="G416" s="714" t="s">
        <v>26</v>
      </c>
    </row>
    <row r="417" spans="1:7" ht="19.899999999999999" customHeight="1" x14ac:dyDescent="0.2">
      <c r="A417" s="491" t="s">
        <v>577</v>
      </c>
      <c r="B417" s="491" t="s">
        <v>578</v>
      </c>
      <c r="C417" s="709"/>
      <c r="D417" s="711"/>
      <c r="E417" s="711"/>
      <c r="F417" s="713"/>
      <c r="G417" s="715"/>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28</v>
      </c>
      <c r="G425" s="532">
        <f>SUBTOTAL(9,G418:G424)</f>
        <v>0</v>
      </c>
    </row>
    <row r="426" spans="1:7" ht="19.899999999999999" customHeight="1" x14ac:dyDescent="0.2">
      <c r="A426" s="527"/>
      <c r="B426" s="175"/>
      <c r="C426" s="469" t="s">
        <v>1014</v>
      </c>
      <c r="D426" s="473"/>
      <c r="E426" s="474"/>
      <c r="F426" s="475"/>
      <c r="G426" s="528"/>
    </row>
    <row r="427" spans="1:7" ht="19.899999999999999" customHeight="1" x14ac:dyDescent="0.2">
      <c r="A427" s="706" t="s">
        <v>576</v>
      </c>
      <c r="B427" s="707"/>
      <c r="C427" s="708" t="s">
        <v>0</v>
      </c>
      <c r="D427" s="708" t="s">
        <v>1867</v>
      </c>
      <c r="E427" s="710" t="s">
        <v>24</v>
      </c>
      <c r="F427" s="712" t="s">
        <v>25</v>
      </c>
      <c r="G427" s="714" t="s">
        <v>26</v>
      </c>
    </row>
    <row r="428" spans="1:7" ht="19.899999999999999" customHeight="1" x14ac:dyDescent="0.2">
      <c r="A428" s="491" t="s">
        <v>577</v>
      </c>
      <c r="B428" s="491" t="s">
        <v>578</v>
      </c>
      <c r="C428" s="709"/>
      <c r="D428" s="709"/>
      <c r="E428" s="711"/>
      <c r="F428" s="713"/>
      <c r="G428" s="715"/>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29</v>
      </c>
      <c r="G440" s="532">
        <f>SUBTOTAL(9,G429:G439)</f>
        <v>0</v>
      </c>
    </row>
    <row r="441" spans="1:7" ht="19.899999999999999" customHeight="1" x14ac:dyDescent="0.2">
      <c r="A441" s="527"/>
      <c r="B441" s="175"/>
      <c r="C441" s="469" t="s">
        <v>1015</v>
      </c>
      <c r="D441" s="473"/>
      <c r="E441" s="474"/>
      <c r="F441" s="475"/>
      <c r="G441" s="528"/>
    </row>
    <row r="442" spans="1:7" ht="19.899999999999999" customHeight="1" x14ac:dyDescent="0.2">
      <c r="A442" s="706" t="s">
        <v>576</v>
      </c>
      <c r="B442" s="707"/>
      <c r="C442" s="708" t="s">
        <v>0</v>
      </c>
      <c r="D442" s="708" t="s">
        <v>1867</v>
      </c>
      <c r="E442" s="710" t="s">
        <v>24</v>
      </c>
      <c r="F442" s="712" t="s">
        <v>25</v>
      </c>
      <c r="G442" s="714" t="s">
        <v>26</v>
      </c>
    </row>
    <row r="443" spans="1:7" ht="19.899999999999999" customHeight="1" x14ac:dyDescent="0.2">
      <c r="A443" s="491" t="s">
        <v>577</v>
      </c>
      <c r="B443" s="491" t="s">
        <v>578</v>
      </c>
      <c r="C443" s="709"/>
      <c r="D443" s="709"/>
      <c r="E443" s="711"/>
      <c r="F443" s="713"/>
      <c r="G443" s="715"/>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1016</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Cumplimiento Manejo Ambiental</v>
      </c>
      <c r="C448" s="473"/>
      <c r="D448" s="473" t="s">
        <v>1833</v>
      </c>
      <c r="E448" s="586"/>
      <c r="F448" s="587" t="str">
        <f ca="1">"$/"&amp;G382</f>
        <v>$/mes</v>
      </c>
      <c r="G448" s="537">
        <f>SUBTOTAL(9,G405:G447)</f>
        <v>0</v>
      </c>
    </row>
    <row r="449" spans="1:7" ht="19.899999999999999" customHeight="1" x14ac:dyDescent="0.2">
      <c r="A449" s="533"/>
      <c r="B449" s="534"/>
      <c r="C449" s="535"/>
      <c r="D449" s="535" t="s">
        <v>2043</v>
      </c>
      <c r="E449" s="536"/>
      <c r="F449" s="589" t="str">
        <f ca="1">"$/"&amp;G382</f>
        <v>$/mes</v>
      </c>
      <c r="G449" s="537">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16" t="s">
        <v>31</v>
      </c>
      <c r="B451" s="717"/>
      <c r="C451" s="717"/>
      <c r="D451" s="717"/>
      <c r="E451" s="717"/>
      <c r="F451" s="717"/>
      <c r="G451" s="718"/>
    </row>
    <row r="452" spans="1:7" ht="19.899999999999999" customHeight="1" x14ac:dyDescent="0.2">
      <c r="A452" s="516" t="s">
        <v>711</v>
      </c>
      <c r="B452" s="467" t="str">
        <f>Comitente</f>
        <v>DIRECCIÓN PROVINCIAL DE VIALIDAD</v>
      </c>
      <c r="C452" s="468"/>
      <c r="D452" s="469"/>
      <c r="E452" s="469"/>
      <c r="F452" s="470"/>
      <c r="G452" s="517"/>
    </row>
    <row r="453" spans="1:7" ht="19.899999999999999" customHeight="1" x14ac:dyDescent="0.2">
      <c r="A453" s="516" t="s">
        <v>712</v>
      </c>
      <c r="B453" s="467">
        <f>Contratista</f>
        <v>0</v>
      </c>
      <c r="C453" s="471"/>
      <c r="D453" s="471"/>
      <c r="E453" s="471"/>
      <c r="F453" s="467"/>
      <c r="G453" s="518"/>
    </row>
    <row r="454" spans="1:7" ht="19.899999999999999" customHeight="1" x14ac:dyDescent="0.2">
      <c r="A454" s="516" t="s">
        <v>21</v>
      </c>
      <c r="B454" s="467" t="str">
        <f>Obra</f>
        <v>OBRA BÁSICA Y PAVIMENTACIÓN CALLE GÜEMES</v>
      </c>
      <c r="C454" s="471"/>
      <c r="D454" s="471"/>
      <c r="E454" s="471"/>
      <c r="F454" s="467" t="s">
        <v>32</v>
      </c>
      <c r="G454" s="518">
        <f>Fecha_Base</f>
        <v>0</v>
      </c>
    </row>
    <row r="455" spans="1:7" ht="19.899999999999999" customHeight="1" x14ac:dyDescent="0.2">
      <c r="A455" s="519" t="s">
        <v>710</v>
      </c>
      <c r="B455" s="472" t="str">
        <f>Ubicación</f>
        <v>Rawson - Santa Lucia</v>
      </c>
      <c r="C455" s="472"/>
      <c r="D455" s="473"/>
      <c r="E455" s="474"/>
      <c r="F455" s="475"/>
      <c r="G455" s="520"/>
    </row>
    <row r="456" spans="1:7" ht="19.899999999999999" customHeight="1" x14ac:dyDescent="0.2">
      <c r="A456" s="519" t="s">
        <v>33</v>
      </c>
      <c r="B456" s="476" t="str">
        <f>IFERROR(VALUE(LEFT(B457,FIND(".",B457)-1)),"")</f>
        <v/>
      </c>
      <c r="C456" s="175">
        <f ca="1">IFERROR(VLOOKUP(B456,T_Computo_Presupuesto,2,FALSE),0)</f>
        <v>0</v>
      </c>
      <c r="D456" s="175"/>
      <c r="E456" s="474"/>
      <c r="F456" s="475"/>
      <c r="G456" s="520"/>
    </row>
    <row r="457" spans="1:7" ht="19.899999999999999" customHeight="1" x14ac:dyDescent="0.2">
      <c r="A457" s="519" t="s">
        <v>22</v>
      </c>
      <c r="B457" s="477">
        <f>IFERROR(VLOOKUP(COUNTIF($A$1:A457,"ANALISIS DE PRECIOS"),T_NumeroItem,2,FALSE),"")</f>
        <v>7</v>
      </c>
      <c r="C457" s="719" t="str">
        <f ca="1">IFERROR(VLOOKUP(B457,T_Computo_Presupuesto,2,FALSE),0)</f>
        <v xml:space="preserve">Movilidad Para el Personal de la Dirección Provincial de Vialidad </v>
      </c>
      <c r="D457" s="719"/>
      <c r="E457" s="719"/>
      <c r="F457" s="472" t="s">
        <v>23</v>
      </c>
      <c r="G457" s="521" t="str">
        <f ca="1">IFERROR(VLOOKUP(B457,T_Computo_Presupuesto,4,FALSE),0)</f>
        <v>-</v>
      </c>
    </row>
    <row r="458" spans="1:7" ht="19.899999999999999" customHeight="1" x14ac:dyDescent="0.2">
      <c r="A458" s="519"/>
      <c r="B458" s="472"/>
      <c r="C458" s="175"/>
      <c r="D458" s="473"/>
      <c r="E458" s="474"/>
      <c r="F458" s="175"/>
      <c r="G458" s="522"/>
    </row>
    <row r="459" spans="1:7" ht="19.899999999999999" customHeight="1" x14ac:dyDescent="0.2">
      <c r="A459" s="523"/>
      <c r="B459" s="478"/>
      <c r="C459" s="479" t="s">
        <v>999</v>
      </c>
      <c r="D459" s="478"/>
      <c r="E459" s="478"/>
      <c r="F459" s="478"/>
      <c r="G459" s="524"/>
    </row>
    <row r="460" spans="1:7" ht="19.899999999999999" customHeight="1" x14ac:dyDescent="0.2">
      <c r="A460" s="519"/>
      <c r="B460" s="480"/>
      <c r="C460" s="175"/>
      <c r="D460" s="473"/>
      <c r="E460" s="474"/>
      <c r="F460" s="472"/>
      <c r="G460" s="521"/>
    </row>
    <row r="461" spans="1:7" ht="19.899999999999999" customHeight="1" x14ac:dyDescent="0.2">
      <c r="A461" s="519"/>
      <c r="B461" s="480"/>
      <c r="C461" s="481" t="s">
        <v>1000</v>
      </c>
      <c r="D461" s="482" t="s">
        <v>24</v>
      </c>
      <c r="E461" s="482" t="s">
        <v>1001</v>
      </c>
      <c r="F461" s="482" t="s">
        <v>1002</v>
      </c>
      <c r="G461" s="481" t="s">
        <v>1003</v>
      </c>
    </row>
    <row r="462" spans="1:7"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x14ac:dyDescent="0.2">
      <c r="A463" s="519"/>
      <c r="B463" s="480"/>
      <c r="C463" s="483"/>
      <c r="D463" s="484"/>
      <c r="E463" s="485">
        <f t="shared" si="102"/>
        <v>0</v>
      </c>
      <c r="F463" s="486">
        <f t="shared" si="103"/>
        <v>0</v>
      </c>
      <c r="G463" s="486">
        <f>ROUND(D463*F463,2)</f>
        <v>0</v>
      </c>
    </row>
    <row r="464" spans="1:7"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1004</v>
      </c>
      <c r="D473" s="472" t="s">
        <v>1001</v>
      </c>
      <c r="E473" s="538">
        <f>SUMPRODUCT(D462:D471,E462:E471)</f>
        <v>0</v>
      </c>
      <c r="F473" s="472" t="s">
        <v>1005</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1006</v>
      </c>
      <c r="D475" s="489">
        <f>IFERROR(VLOOKUP(COUNTIF($A$1:A475,"ANALISIS DE PRECIOS"),T_Rendimiento_Equipo,5,FALSE),0)</f>
        <v>0</v>
      </c>
      <c r="E475" s="490" t="str">
        <f ca="1">G457&amp;"/día"</f>
        <v>-/día</v>
      </c>
      <c r="F475" s="466"/>
      <c r="G475" s="521"/>
    </row>
    <row r="476" spans="1:7" ht="19.899999999999999" customHeight="1" x14ac:dyDescent="0.2">
      <c r="A476" s="519"/>
      <c r="B476" s="480"/>
      <c r="C476" s="175"/>
      <c r="D476" s="473"/>
      <c r="E476" s="474"/>
      <c r="F476" s="472"/>
      <c r="G476" s="521"/>
    </row>
    <row r="477" spans="1:7" ht="19.899999999999999" customHeight="1" x14ac:dyDescent="0.2">
      <c r="A477" s="706" t="s">
        <v>576</v>
      </c>
      <c r="B477" s="707"/>
      <c r="C477" s="708" t="s">
        <v>0</v>
      </c>
      <c r="D477" s="720" t="s">
        <v>1866</v>
      </c>
      <c r="E477" s="720" t="s">
        <v>1865</v>
      </c>
      <c r="F477" s="712" t="s">
        <v>1007</v>
      </c>
      <c r="G477" s="714" t="s">
        <v>26</v>
      </c>
    </row>
    <row r="478" spans="1:7" ht="19.899999999999999" customHeight="1" x14ac:dyDescent="0.2">
      <c r="A478" s="491" t="s">
        <v>577</v>
      </c>
      <c r="B478" s="491" t="s">
        <v>578</v>
      </c>
      <c r="C478" s="709"/>
      <c r="D478" s="721"/>
      <c r="E478" s="711"/>
      <c r="F478" s="713"/>
      <c r="G478" s="715"/>
    </row>
    <row r="479" spans="1:7" ht="19.899999999999999" customHeight="1" x14ac:dyDescent="0.2">
      <c r="A479" s="527"/>
      <c r="B479" s="175"/>
      <c r="C479" s="469" t="s">
        <v>1008</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27</v>
      </c>
      <c r="G489" s="531">
        <f>SUBTOTAL(9,G480:G488)</f>
        <v>0</v>
      </c>
    </row>
    <row r="490" spans="1:7" ht="19.899999999999999" customHeight="1" x14ac:dyDescent="0.2">
      <c r="A490" s="527"/>
      <c r="B490" s="175"/>
      <c r="C490" s="469" t="s">
        <v>713</v>
      </c>
      <c r="D490" s="473"/>
      <c r="E490" s="474"/>
      <c r="F490" s="475"/>
      <c r="G490" s="528"/>
    </row>
    <row r="491" spans="1:7" ht="19.899999999999999" customHeight="1" x14ac:dyDescent="0.2">
      <c r="A491" s="706" t="s">
        <v>576</v>
      </c>
      <c r="B491" s="707"/>
      <c r="C491" s="708" t="s">
        <v>0</v>
      </c>
      <c r="D491" s="710" t="s">
        <v>24</v>
      </c>
      <c r="E491" s="710" t="s">
        <v>1832</v>
      </c>
      <c r="F491" s="712" t="s">
        <v>1007</v>
      </c>
      <c r="G491" s="714" t="s">
        <v>26</v>
      </c>
    </row>
    <row r="492" spans="1:7" ht="19.899999999999999" customHeight="1" x14ac:dyDescent="0.2">
      <c r="A492" s="491" t="s">
        <v>577</v>
      </c>
      <c r="B492" s="491" t="s">
        <v>578</v>
      </c>
      <c r="C492" s="709"/>
      <c r="D492" s="711"/>
      <c r="E492" s="711"/>
      <c r="F492" s="713"/>
      <c r="G492" s="715"/>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28</v>
      </c>
      <c r="G500" s="532">
        <f>SUBTOTAL(9,G493:G499)</f>
        <v>0</v>
      </c>
    </row>
    <row r="501" spans="1:7" ht="19.899999999999999" customHeight="1" x14ac:dyDescent="0.2">
      <c r="A501" s="527"/>
      <c r="B501" s="175"/>
      <c r="C501" s="469" t="s">
        <v>1014</v>
      </c>
      <c r="D501" s="473"/>
      <c r="E501" s="474"/>
      <c r="F501" s="475"/>
      <c r="G501" s="528"/>
    </row>
    <row r="502" spans="1:7" ht="19.899999999999999" customHeight="1" x14ac:dyDescent="0.2">
      <c r="A502" s="706" t="s">
        <v>576</v>
      </c>
      <c r="B502" s="707"/>
      <c r="C502" s="708" t="s">
        <v>0</v>
      </c>
      <c r="D502" s="708" t="s">
        <v>1867</v>
      </c>
      <c r="E502" s="710" t="s">
        <v>24</v>
      </c>
      <c r="F502" s="712" t="s">
        <v>25</v>
      </c>
      <c r="G502" s="714" t="s">
        <v>26</v>
      </c>
    </row>
    <row r="503" spans="1:7" ht="19.899999999999999" customHeight="1" x14ac:dyDescent="0.2">
      <c r="A503" s="491" t="s">
        <v>577</v>
      </c>
      <c r="B503" s="491" t="s">
        <v>578</v>
      </c>
      <c r="C503" s="709"/>
      <c r="D503" s="709"/>
      <c r="E503" s="711"/>
      <c r="F503" s="713"/>
      <c r="G503" s="715"/>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7" ht="19.899999999999999" customHeight="1" x14ac:dyDescent="0.2">
      <c r="A513" s="529">
        <f t="shared" si="113"/>
        <v>0</v>
      </c>
      <c r="B513" s="492">
        <f t="shared" si="114"/>
        <v>0</v>
      </c>
      <c r="C513" s="492"/>
      <c r="D513" s="540">
        <f t="shared" si="115"/>
        <v>0</v>
      </c>
      <c r="E513" s="484"/>
      <c r="F513" s="486">
        <f t="shared" si="116"/>
        <v>0</v>
      </c>
      <c r="G513" s="486">
        <f t="shared" si="117"/>
        <v>0</v>
      </c>
    </row>
    <row r="514" spans="1:7" ht="19.899999999999999" customHeight="1" x14ac:dyDescent="0.2">
      <c r="A514" s="529">
        <f t="shared" si="113"/>
        <v>0</v>
      </c>
      <c r="B514" s="492">
        <f t="shared" si="114"/>
        <v>0</v>
      </c>
      <c r="C514" s="492"/>
      <c r="D514" s="540">
        <f t="shared" si="115"/>
        <v>0</v>
      </c>
      <c r="E514" s="484"/>
      <c r="F514" s="486">
        <f t="shared" si="116"/>
        <v>0</v>
      </c>
      <c r="G514" s="486">
        <f t="shared" si="117"/>
        <v>0</v>
      </c>
    </row>
    <row r="515" spans="1:7" ht="19.899999999999999" customHeight="1" x14ac:dyDescent="0.2">
      <c r="A515" s="527"/>
      <c r="B515" s="175"/>
      <c r="C515" s="175"/>
      <c r="D515" s="473"/>
      <c r="E515" s="474"/>
      <c r="F515" s="495" t="s">
        <v>29</v>
      </c>
      <c r="G515" s="532">
        <f>SUBTOTAL(9,G504:G514)</f>
        <v>0</v>
      </c>
    </row>
    <row r="516" spans="1:7" ht="19.899999999999999" customHeight="1" x14ac:dyDescent="0.2">
      <c r="A516" s="527"/>
      <c r="B516" s="175"/>
      <c r="C516" s="469" t="s">
        <v>1015</v>
      </c>
      <c r="D516" s="473"/>
      <c r="E516" s="474"/>
      <c r="F516" s="475"/>
      <c r="G516" s="528"/>
    </row>
    <row r="517" spans="1:7" ht="19.899999999999999" customHeight="1" x14ac:dyDescent="0.2">
      <c r="A517" s="706" t="s">
        <v>576</v>
      </c>
      <c r="B517" s="707"/>
      <c r="C517" s="708" t="s">
        <v>0</v>
      </c>
      <c r="D517" s="708" t="s">
        <v>1867</v>
      </c>
      <c r="E517" s="710" t="s">
        <v>24</v>
      </c>
      <c r="F517" s="712" t="s">
        <v>25</v>
      </c>
      <c r="G517" s="714" t="s">
        <v>26</v>
      </c>
    </row>
    <row r="518" spans="1:7" ht="19.899999999999999" customHeight="1" x14ac:dyDescent="0.2">
      <c r="A518" s="491" t="s">
        <v>577</v>
      </c>
      <c r="B518" s="491" t="s">
        <v>578</v>
      </c>
      <c r="C518" s="709"/>
      <c r="D518" s="709"/>
      <c r="E518" s="711"/>
      <c r="F518" s="713"/>
      <c r="G518" s="715"/>
    </row>
    <row r="519" spans="1:7"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x14ac:dyDescent="0.2">
      <c r="A521" s="527"/>
      <c r="B521" s="175"/>
      <c r="C521" s="175"/>
      <c r="D521" s="473"/>
      <c r="E521" s="474"/>
      <c r="F521" s="495" t="s">
        <v>1016</v>
      </c>
      <c r="G521" s="532">
        <f>SUBTOTAL(9,G519:G520)</f>
        <v>0</v>
      </c>
    </row>
    <row r="522" spans="1:7" ht="19.899999999999999" customHeight="1" x14ac:dyDescent="0.2">
      <c r="A522" s="530"/>
      <c r="B522" s="473"/>
      <c r="C522" s="175"/>
      <c r="D522" s="473"/>
      <c r="E522" s="474"/>
      <c r="F522" s="475"/>
      <c r="G522" s="528"/>
    </row>
    <row r="523" spans="1:7" ht="19.899999999999999" customHeight="1" x14ac:dyDescent="0.2">
      <c r="A523" s="588">
        <f>B457</f>
        <v>7</v>
      </c>
      <c r="B523" s="585" t="str">
        <f ca="1">C457</f>
        <v xml:space="preserve">Movilidad Para el Personal de la Dirección Provincial de Vialidad </v>
      </c>
      <c r="C523" s="473"/>
      <c r="D523" s="473" t="s">
        <v>1833</v>
      </c>
      <c r="E523" s="586"/>
      <c r="F523" s="587" t="str">
        <f ca="1">"$/"&amp;G457</f>
        <v>$/-</v>
      </c>
      <c r="G523" s="537">
        <f>SUBTOTAL(9,G480:G522)</f>
        <v>0</v>
      </c>
    </row>
    <row r="524" spans="1:7" ht="19.899999999999999" customHeight="1" x14ac:dyDescent="0.2">
      <c r="A524" s="533"/>
      <c r="B524" s="534"/>
      <c r="C524" s="535"/>
      <c r="D524" s="535" t="s">
        <v>2043</v>
      </c>
      <c r="E524" s="536"/>
      <c r="F524" s="589" t="str">
        <f ca="1">"$/"&amp;G457</f>
        <v>$/-</v>
      </c>
      <c r="G524" s="537">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16" t="s">
        <v>31</v>
      </c>
      <c r="B526" s="717"/>
      <c r="C526" s="717"/>
      <c r="D526" s="717"/>
      <c r="E526" s="717"/>
      <c r="F526" s="717"/>
      <c r="G526" s="718"/>
    </row>
    <row r="527" spans="1:7" ht="19.899999999999999" customHeight="1" x14ac:dyDescent="0.2">
      <c r="A527" s="516" t="s">
        <v>711</v>
      </c>
      <c r="B527" s="467" t="str">
        <f>Comitente</f>
        <v>DIRECCIÓN PROVINCIAL DE VIALIDAD</v>
      </c>
      <c r="C527" s="468"/>
      <c r="D527" s="469"/>
      <c r="E527" s="469"/>
      <c r="F527" s="470"/>
      <c r="G527" s="517"/>
    </row>
    <row r="528" spans="1:7" ht="19.899999999999999" customHeight="1" x14ac:dyDescent="0.2">
      <c r="A528" s="516" t="s">
        <v>712</v>
      </c>
      <c r="B528" s="467">
        <f>Contratista</f>
        <v>0</v>
      </c>
      <c r="C528" s="471"/>
      <c r="D528" s="471"/>
      <c r="E528" s="471"/>
      <c r="F528" s="467"/>
      <c r="G528" s="518"/>
    </row>
    <row r="529" spans="1:7" ht="19.899999999999999" customHeight="1" x14ac:dyDescent="0.2">
      <c r="A529" s="516" t="s">
        <v>21</v>
      </c>
      <c r="B529" s="467" t="str">
        <f>Obra</f>
        <v>OBRA BÁSICA Y PAVIMENTACIÓN CALLE GÜEMES</v>
      </c>
      <c r="C529" s="471"/>
      <c r="D529" s="471"/>
      <c r="E529" s="471"/>
      <c r="F529" s="467" t="s">
        <v>32</v>
      </c>
      <c r="G529" s="518">
        <f>Fecha_Base</f>
        <v>0</v>
      </c>
    </row>
    <row r="530" spans="1:7" ht="19.899999999999999" customHeight="1" x14ac:dyDescent="0.2">
      <c r="A530" s="519" t="s">
        <v>710</v>
      </c>
      <c r="B530" s="472" t="str">
        <f>Ubicación</f>
        <v>Rawson - Santa Lucia</v>
      </c>
      <c r="C530" s="472"/>
      <c r="D530" s="473"/>
      <c r="E530" s="474"/>
      <c r="F530" s="475"/>
      <c r="G530" s="520"/>
    </row>
    <row r="531" spans="1:7" ht="19.899999999999999" customHeight="1" x14ac:dyDescent="0.2">
      <c r="A531" s="519" t="s">
        <v>33</v>
      </c>
      <c r="B531" s="476">
        <f>IFERROR(VALUE(LEFT(B532,FIND(".",B532)-1)),"")</f>
        <v>7</v>
      </c>
      <c r="C531" s="175" t="str">
        <f ca="1">IFERROR(VLOOKUP(B531,T_Computo_Presupuesto,2,FALSE),0)</f>
        <v xml:space="preserve">Movilidad Para el Personal de la Dirección Provincial de Vialidad </v>
      </c>
      <c r="D531" s="175"/>
      <c r="E531" s="474"/>
      <c r="F531" s="475"/>
      <c r="G531" s="520"/>
    </row>
    <row r="532" spans="1:7" ht="19.899999999999999" customHeight="1" x14ac:dyDescent="0.2">
      <c r="A532" s="519" t="s">
        <v>22</v>
      </c>
      <c r="B532" s="477" t="str">
        <f>IFERROR(VLOOKUP(COUNTIF($A$1:A532,"ANALISIS DE PRECIOS"),T_NumeroItem,2,FALSE),"")</f>
        <v>7.1</v>
      </c>
      <c r="C532" s="719" t="str">
        <f ca="1">IFERROR(VLOOKUP(B532,T_Computo_Presupuesto,2,FALSE),0)</f>
        <v>A) - Cuota Mensual</v>
      </c>
      <c r="D532" s="719"/>
      <c r="E532" s="719"/>
      <c r="F532" s="472" t="s">
        <v>23</v>
      </c>
      <c r="G532" s="521" t="str">
        <f ca="1">IFERROR(VLOOKUP(B532,T_Computo_Presupuesto,4,FALSE),0)</f>
        <v>mes</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999</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1000</v>
      </c>
      <c r="D536" s="482" t="s">
        <v>24</v>
      </c>
      <c r="E536" s="482" t="s">
        <v>1001</v>
      </c>
      <c r="F536" s="482" t="s">
        <v>1002</v>
      </c>
      <c r="G536" s="481" t="s">
        <v>1003</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1004</v>
      </c>
      <c r="D548" s="472" t="s">
        <v>1001</v>
      </c>
      <c r="E548" s="538">
        <f>SUMPRODUCT(D537:D546,E537:E546)</f>
        <v>0</v>
      </c>
      <c r="F548" s="472" t="s">
        <v>1005</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1006</v>
      </c>
      <c r="D550" s="489">
        <f>IFERROR(VLOOKUP(COUNTIF($A$1:A550,"ANALISIS DE PRECIOS"),T_Rendimiento_Equipo,5,FALSE),0)</f>
        <v>0</v>
      </c>
      <c r="E550" s="490" t="str">
        <f ca="1">G532&amp;"/día"</f>
        <v>mes/día</v>
      </c>
      <c r="F550" s="466"/>
      <c r="G550" s="521"/>
    </row>
    <row r="551" spans="1:7" ht="19.899999999999999" customHeight="1" x14ac:dyDescent="0.2">
      <c r="A551" s="519"/>
      <c r="B551" s="480"/>
      <c r="C551" s="175"/>
      <c r="D551" s="473"/>
      <c r="E551" s="474"/>
      <c r="F551" s="472"/>
      <c r="G551" s="521"/>
    </row>
    <row r="552" spans="1:7" ht="19.899999999999999" customHeight="1" x14ac:dyDescent="0.2">
      <c r="A552" s="706" t="s">
        <v>576</v>
      </c>
      <c r="B552" s="707"/>
      <c r="C552" s="708" t="s">
        <v>0</v>
      </c>
      <c r="D552" s="720" t="s">
        <v>1866</v>
      </c>
      <c r="E552" s="720" t="s">
        <v>1865</v>
      </c>
      <c r="F552" s="712" t="s">
        <v>1007</v>
      </c>
      <c r="G552" s="714" t="s">
        <v>26</v>
      </c>
    </row>
    <row r="553" spans="1:7" ht="19.899999999999999" customHeight="1" x14ac:dyDescent="0.2">
      <c r="A553" s="491" t="s">
        <v>577</v>
      </c>
      <c r="B553" s="491" t="s">
        <v>578</v>
      </c>
      <c r="C553" s="709"/>
      <c r="D553" s="721"/>
      <c r="E553" s="711"/>
      <c r="F553" s="713"/>
      <c r="G553" s="715"/>
    </row>
    <row r="554" spans="1:7" ht="19.899999999999999" customHeight="1" x14ac:dyDescent="0.2">
      <c r="A554" s="527"/>
      <c r="B554" s="175"/>
      <c r="C554" s="469" t="s">
        <v>1008</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27</v>
      </c>
      <c r="G564" s="531">
        <f>SUBTOTAL(9,G555:G563)</f>
        <v>0</v>
      </c>
    </row>
    <row r="565" spans="1:7" ht="19.899999999999999" customHeight="1" x14ac:dyDescent="0.2">
      <c r="A565" s="527"/>
      <c r="B565" s="175"/>
      <c r="C565" s="469" t="s">
        <v>713</v>
      </c>
      <c r="D565" s="473"/>
      <c r="E565" s="474"/>
      <c r="F565" s="475"/>
      <c r="G565" s="528"/>
    </row>
    <row r="566" spans="1:7" ht="19.899999999999999" customHeight="1" x14ac:dyDescent="0.2">
      <c r="A566" s="706" t="s">
        <v>576</v>
      </c>
      <c r="B566" s="707"/>
      <c r="C566" s="708" t="s">
        <v>0</v>
      </c>
      <c r="D566" s="710" t="s">
        <v>24</v>
      </c>
      <c r="E566" s="710" t="s">
        <v>1832</v>
      </c>
      <c r="F566" s="712" t="s">
        <v>1007</v>
      </c>
      <c r="G566" s="714" t="s">
        <v>26</v>
      </c>
    </row>
    <row r="567" spans="1:7" ht="19.899999999999999" customHeight="1" x14ac:dyDescent="0.2">
      <c r="A567" s="491" t="s">
        <v>577</v>
      </c>
      <c r="B567" s="491" t="s">
        <v>578</v>
      </c>
      <c r="C567" s="709"/>
      <c r="D567" s="711"/>
      <c r="E567" s="711"/>
      <c r="F567" s="713"/>
      <c r="G567" s="715"/>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28</v>
      </c>
      <c r="G575" s="532">
        <f>SUBTOTAL(9,G568:G574)</f>
        <v>0</v>
      </c>
    </row>
    <row r="576" spans="1:7" ht="19.899999999999999" customHeight="1" x14ac:dyDescent="0.2">
      <c r="A576" s="527"/>
      <c r="B576" s="175"/>
      <c r="C576" s="469" t="s">
        <v>1014</v>
      </c>
      <c r="D576" s="473"/>
      <c r="E576" s="474"/>
      <c r="F576" s="475"/>
      <c r="G576" s="528"/>
    </row>
    <row r="577" spans="1:7" ht="19.899999999999999" customHeight="1" x14ac:dyDescent="0.2">
      <c r="A577" s="706" t="s">
        <v>576</v>
      </c>
      <c r="B577" s="707"/>
      <c r="C577" s="708" t="s">
        <v>0</v>
      </c>
      <c r="D577" s="708" t="s">
        <v>1867</v>
      </c>
      <c r="E577" s="710" t="s">
        <v>24</v>
      </c>
      <c r="F577" s="712" t="s">
        <v>25</v>
      </c>
      <c r="G577" s="714" t="s">
        <v>26</v>
      </c>
    </row>
    <row r="578" spans="1:7" ht="19.899999999999999" customHeight="1" x14ac:dyDescent="0.2">
      <c r="A578" s="491" t="s">
        <v>577</v>
      </c>
      <c r="B578" s="491" t="s">
        <v>578</v>
      </c>
      <c r="C578" s="709"/>
      <c r="D578" s="709"/>
      <c r="E578" s="711"/>
      <c r="F578" s="713"/>
      <c r="G578" s="715"/>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29</v>
      </c>
      <c r="G590" s="532">
        <f>SUBTOTAL(9,G579:G589)</f>
        <v>0</v>
      </c>
    </row>
    <row r="591" spans="1:7" ht="19.899999999999999" customHeight="1" x14ac:dyDescent="0.2">
      <c r="A591" s="527"/>
      <c r="B591" s="175"/>
      <c r="C591" s="469" t="s">
        <v>1015</v>
      </c>
      <c r="D591" s="473"/>
      <c r="E591" s="474"/>
      <c r="F591" s="475"/>
      <c r="G591" s="528"/>
    </row>
    <row r="592" spans="1:7" ht="19.899999999999999" customHeight="1" x14ac:dyDescent="0.2">
      <c r="A592" s="706" t="s">
        <v>576</v>
      </c>
      <c r="B592" s="707"/>
      <c r="C592" s="708" t="s">
        <v>0</v>
      </c>
      <c r="D592" s="708" t="s">
        <v>1867</v>
      </c>
      <c r="E592" s="710" t="s">
        <v>24</v>
      </c>
      <c r="F592" s="712" t="s">
        <v>25</v>
      </c>
      <c r="G592" s="714" t="s">
        <v>26</v>
      </c>
    </row>
    <row r="593" spans="1:8" ht="19.899999999999999" customHeight="1" x14ac:dyDescent="0.2">
      <c r="A593" s="491" t="s">
        <v>577</v>
      </c>
      <c r="B593" s="491" t="s">
        <v>578</v>
      </c>
      <c r="C593" s="709"/>
      <c r="D593" s="709"/>
      <c r="E593" s="711"/>
      <c r="F593" s="713"/>
      <c r="G593" s="715"/>
    </row>
    <row r="594" spans="1:8"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x14ac:dyDescent="0.2">
      <c r="A596" s="527"/>
      <c r="B596" s="175"/>
      <c r="C596" s="175"/>
      <c r="D596" s="473"/>
      <c r="E596" s="474"/>
      <c r="F596" s="495" t="s">
        <v>1016</v>
      </c>
      <c r="G596" s="532">
        <f>SUBTOTAL(9,G594:G595)</f>
        <v>0</v>
      </c>
    </row>
    <row r="597" spans="1:8" ht="19.899999999999999" customHeight="1" x14ac:dyDescent="0.2">
      <c r="A597" s="530"/>
      <c r="B597" s="473"/>
      <c r="C597" s="175"/>
      <c r="D597" s="473"/>
      <c r="E597" s="474"/>
      <c r="F597" s="475"/>
      <c r="G597" s="528"/>
    </row>
    <row r="598" spans="1:8" ht="19.899999999999999" customHeight="1" x14ac:dyDescent="0.2">
      <c r="A598" s="588" t="str">
        <f>B532</f>
        <v>7.1</v>
      </c>
      <c r="B598" s="585" t="str">
        <f ca="1">C532</f>
        <v>A) - Cuota Mensual</v>
      </c>
      <c r="C598" s="473"/>
      <c r="D598" s="473" t="s">
        <v>1833</v>
      </c>
      <c r="E598" s="586"/>
      <c r="F598" s="587" t="str">
        <f ca="1">"$/"&amp;G532</f>
        <v>$/mes</v>
      </c>
      <c r="G598" s="537">
        <f>SUBTOTAL(9,G555:G597)</f>
        <v>0</v>
      </c>
    </row>
    <row r="599" spans="1:8" ht="19.899999999999999" customHeight="1" x14ac:dyDescent="0.2">
      <c r="A599" s="533"/>
      <c r="B599" s="534"/>
      <c r="C599" s="535"/>
      <c r="D599" s="535" t="s">
        <v>2043</v>
      </c>
      <c r="E599" s="536"/>
      <c r="F599" s="589" t="str">
        <f ca="1">"$/"&amp;G532</f>
        <v>$/mes</v>
      </c>
      <c r="G599" s="537">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16" t="s">
        <v>31</v>
      </c>
      <c r="B601" s="717"/>
      <c r="C601" s="717"/>
      <c r="D601" s="717"/>
      <c r="E601" s="717"/>
      <c r="F601" s="717"/>
      <c r="G601" s="718"/>
      <c r="H601" s="65"/>
    </row>
    <row r="602" spans="1:8" ht="19.899999999999999" customHeight="1" x14ac:dyDescent="0.2">
      <c r="A602" s="516" t="s">
        <v>711</v>
      </c>
      <c r="B602" s="467" t="str">
        <f>Comitente</f>
        <v>DIRECCIÓN PROVINCIAL DE VIALIDAD</v>
      </c>
      <c r="C602" s="468"/>
      <c r="D602" s="469"/>
      <c r="E602" s="469"/>
      <c r="F602" s="470"/>
      <c r="G602" s="517"/>
      <c r="H602" s="65"/>
    </row>
    <row r="603" spans="1:8" ht="19.899999999999999" customHeight="1" x14ac:dyDescent="0.2">
      <c r="A603" s="516" t="s">
        <v>712</v>
      </c>
      <c r="B603" s="467">
        <f>Contratista</f>
        <v>0</v>
      </c>
      <c r="C603" s="471"/>
      <c r="D603" s="471"/>
      <c r="E603" s="471"/>
      <c r="F603" s="467"/>
      <c r="G603" s="518"/>
      <c r="H603" s="65"/>
    </row>
    <row r="604" spans="1:8" ht="19.899999999999999" customHeight="1" x14ac:dyDescent="0.2">
      <c r="A604" s="516" t="s">
        <v>21</v>
      </c>
      <c r="B604" s="467" t="str">
        <f>Obra</f>
        <v>OBRA BÁSICA Y PAVIMENTACIÓN CALLE GÜEMES</v>
      </c>
      <c r="C604" s="471"/>
      <c r="D604" s="471"/>
      <c r="E604" s="471"/>
      <c r="F604" s="467" t="s">
        <v>32</v>
      </c>
      <c r="G604" s="518">
        <f>Fecha_Base</f>
        <v>0</v>
      </c>
      <c r="H604" s="65"/>
    </row>
    <row r="605" spans="1:8" ht="19.899999999999999" customHeight="1" x14ac:dyDescent="0.2">
      <c r="A605" s="519" t="s">
        <v>710</v>
      </c>
      <c r="B605" s="472" t="str">
        <f>Ubicación</f>
        <v>Rawson - Santa Lucia</v>
      </c>
      <c r="C605" s="472"/>
      <c r="D605" s="473"/>
      <c r="E605" s="474"/>
      <c r="F605" s="475"/>
      <c r="G605" s="520"/>
      <c r="H605" s="65"/>
    </row>
    <row r="606" spans="1:8" ht="19.899999999999999" customHeight="1" x14ac:dyDescent="0.2">
      <c r="A606" s="519" t="s">
        <v>33</v>
      </c>
      <c r="B606" s="476">
        <f>IFERROR(VALUE(LEFT(B607,FIND(".",B607)-1)),"")</f>
        <v>7</v>
      </c>
      <c r="C606" s="175" t="str">
        <f ca="1">IFERROR(VLOOKUP(B606,T_Computo_Presupuesto,2,FALSE),0)</f>
        <v xml:space="preserve">Movilidad Para el Personal de la Dirección Provincial de Vialidad </v>
      </c>
      <c r="D606" s="175"/>
      <c r="E606" s="474"/>
      <c r="F606" s="475"/>
      <c r="G606" s="520"/>
      <c r="H606" s="65"/>
    </row>
    <row r="607" spans="1:8" ht="19.899999999999999" customHeight="1" x14ac:dyDescent="0.2">
      <c r="A607" s="519" t="s">
        <v>22</v>
      </c>
      <c r="B607" s="477" t="str">
        <f>IFERROR(VLOOKUP(COUNTIF($A$1:A607,"ANALISIS DE PRECIOS"),T_NumeroItem,2,FALSE),"")</f>
        <v>7.2</v>
      </c>
      <c r="C607" s="719" t="str">
        <f ca="1">IFERROR(VLOOKUP(B607,T_Computo_Presupuesto,2,FALSE),0)</f>
        <v>B)- Adicional por Km.</v>
      </c>
      <c r="D607" s="719"/>
      <c r="E607" s="719"/>
      <c r="F607" s="472" t="s">
        <v>23</v>
      </c>
      <c r="G607" s="521" t="str">
        <f ca="1">IFERROR(VLOOKUP(B607,T_Computo_Presupuesto,4,FALSE),0)</f>
        <v>Km.</v>
      </c>
      <c r="H607" s="65"/>
    </row>
    <row r="608" spans="1:8" ht="19.899999999999999" customHeight="1" x14ac:dyDescent="0.2">
      <c r="A608" s="519"/>
      <c r="B608" s="472"/>
      <c r="C608" s="175"/>
      <c r="D608" s="473"/>
      <c r="E608" s="474"/>
      <c r="F608" s="175"/>
      <c r="G608" s="522"/>
      <c r="H608" s="65"/>
    </row>
    <row r="609" spans="1:8" ht="19.899999999999999" customHeight="1" x14ac:dyDescent="0.2">
      <c r="A609" s="523"/>
      <c r="B609" s="478"/>
      <c r="C609" s="479" t="s">
        <v>999</v>
      </c>
      <c r="D609" s="478"/>
      <c r="E609" s="478"/>
      <c r="F609" s="478"/>
      <c r="G609" s="524"/>
      <c r="H609" s="65"/>
    </row>
    <row r="610" spans="1:8" ht="19.899999999999999" customHeight="1" x14ac:dyDescent="0.2">
      <c r="A610" s="519"/>
      <c r="B610" s="480"/>
      <c r="C610" s="175"/>
      <c r="D610" s="473"/>
      <c r="E610" s="474"/>
      <c r="F610" s="472"/>
      <c r="G610" s="521"/>
      <c r="H610" s="65"/>
    </row>
    <row r="611" spans="1:8" ht="19.899999999999999" customHeight="1" x14ac:dyDescent="0.2">
      <c r="A611" s="519"/>
      <c r="B611" s="480"/>
      <c r="C611" s="481" t="s">
        <v>1000</v>
      </c>
      <c r="D611" s="482" t="s">
        <v>24</v>
      </c>
      <c r="E611" s="482" t="s">
        <v>1001</v>
      </c>
      <c r="F611" s="482" t="s">
        <v>1002</v>
      </c>
      <c r="G611" s="481" t="s">
        <v>1003</v>
      </c>
    </row>
    <row r="612" spans="1:8"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x14ac:dyDescent="0.2">
      <c r="A613" s="519"/>
      <c r="B613" s="480"/>
      <c r="C613" s="483"/>
      <c r="D613" s="484"/>
      <c r="E613" s="485">
        <f t="shared" si="136"/>
        <v>0</v>
      </c>
      <c r="F613" s="486">
        <f t="shared" si="137"/>
        <v>0</v>
      </c>
      <c r="G613" s="486">
        <f>ROUND(D613*F613,2)</f>
        <v>0</v>
      </c>
    </row>
    <row r="614" spans="1:8" ht="19.899999999999999" customHeight="1" x14ac:dyDescent="0.2">
      <c r="A614" s="519"/>
      <c r="B614" s="480"/>
      <c r="C614" s="483"/>
      <c r="D614" s="484"/>
      <c r="E614" s="485">
        <f t="shared" si="136"/>
        <v>0</v>
      </c>
      <c r="F614" s="486">
        <f t="shared" si="137"/>
        <v>0</v>
      </c>
      <c r="G614" s="486">
        <f>ROUND(D614*F614,2)</f>
        <v>0</v>
      </c>
    </row>
    <row r="615" spans="1:8" ht="19.899999999999999" customHeight="1" x14ac:dyDescent="0.2">
      <c r="A615" s="519"/>
      <c r="B615" s="480"/>
      <c r="C615" s="483"/>
      <c r="D615" s="484"/>
      <c r="E615" s="485">
        <f t="shared" si="136"/>
        <v>0</v>
      </c>
      <c r="F615" s="486">
        <f t="shared" si="137"/>
        <v>0</v>
      </c>
      <c r="G615" s="486">
        <f>ROUND(D615*F615,2)</f>
        <v>0</v>
      </c>
    </row>
    <row r="616" spans="1:8" ht="19.899999999999999" customHeight="1" x14ac:dyDescent="0.2">
      <c r="A616" s="519"/>
      <c r="B616" s="480"/>
      <c r="C616" s="483"/>
      <c r="D616" s="484"/>
      <c r="E616" s="485">
        <f t="shared" si="136"/>
        <v>0</v>
      </c>
      <c r="F616" s="486">
        <f t="shared" si="137"/>
        <v>0</v>
      </c>
      <c r="G616" s="486">
        <f t="shared" ref="G616:G621" si="138">ROUND(D616*F616,2)</f>
        <v>0</v>
      </c>
    </row>
    <row r="617" spans="1:8" ht="19.899999999999999" customHeight="1" x14ac:dyDescent="0.2">
      <c r="A617" s="519"/>
      <c r="B617" s="480"/>
      <c r="C617" s="483"/>
      <c r="D617" s="484"/>
      <c r="E617" s="485">
        <f t="shared" si="136"/>
        <v>0</v>
      </c>
      <c r="F617" s="486">
        <f t="shared" si="137"/>
        <v>0</v>
      </c>
      <c r="G617" s="486">
        <f t="shared" si="138"/>
        <v>0</v>
      </c>
    </row>
    <row r="618" spans="1:8" ht="19.899999999999999" customHeight="1" x14ac:dyDescent="0.2">
      <c r="A618" s="519"/>
      <c r="B618" s="480"/>
      <c r="C618" s="483"/>
      <c r="D618" s="484"/>
      <c r="E618" s="485">
        <f t="shared" si="136"/>
        <v>0</v>
      </c>
      <c r="F618" s="486">
        <f t="shared" si="137"/>
        <v>0</v>
      </c>
      <c r="G618" s="486">
        <f t="shared" si="138"/>
        <v>0</v>
      </c>
    </row>
    <row r="619" spans="1:8" ht="19.899999999999999" customHeight="1" x14ac:dyDescent="0.2">
      <c r="A619" s="519"/>
      <c r="B619" s="480"/>
      <c r="C619" s="483"/>
      <c r="D619" s="484"/>
      <c r="E619" s="485">
        <f t="shared" si="136"/>
        <v>0</v>
      </c>
      <c r="F619" s="486">
        <f t="shared" si="137"/>
        <v>0</v>
      </c>
      <c r="G619" s="486">
        <f t="shared" si="138"/>
        <v>0</v>
      </c>
    </row>
    <row r="620" spans="1:8" ht="19.899999999999999" customHeight="1" x14ac:dyDescent="0.2">
      <c r="A620" s="519"/>
      <c r="B620" s="480"/>
      <c r="C620" s="483"/>
      <c r="D620" s="484"/>
      <c r="E620" s="485">
        <f t="shared" si="136"/>
        <v>0</v>
      </c>
      <c r="F620" s="486">
        <f t="shared" si="137"/>
        <v>0</v>
      </c>
      <c r="G620" s="486">
        <f t="shared" si="138"/>
        <v>0</v>
      </c>
    </row>
    <row r="621" spans="1:8" ht="19.899999999999999" customHeight="1" x14ac:dyDescent="0.2">
      <c r="A621" s="519"/>
      <c r="B621" s="480"/>
      <c r="C621" s="483"/>
      <c r="D621" s="484"/>
      <c r="E621" s="485">
        <f t="shared" si="136"/>
        <v>0</v>
      </c>
      <c r="F621" s="486">
        <f t="shared" si="137"/>
        <v>0</v>
      </c>
      <c r="G621" s="486">
        <f t="shared" si="138"/>
        <v>0</v>
      </c>
    </row>
    <row r="622" spans="1:8" ht="19.899999999999999" customHeight="1" x14ac:dyDescent="0.2">
      <c r="A622" s="519"/>
      <c r="B622" s="480"/>
      <c r="C622" s="175"/>
      <c r="D622" s="175"/>
      <c r="E622" s="487"/>
      <c r="F622" s="472"/>
      <c r="G622" s="521"/>
    </row>
    <row r="623" spans="1:8" ht="19.899999999999999" customHeight="1" x14ac:dyDescent="0.2">
      <c r="A623" s="519"/>
      <c r="B623" s="175"/>
      <c r="C623" s="469" t="s">
        <v>1004</v>
      </c>
      <c r="D623" s="472" t="s">
        <v>1001</v>
      </c>
      <c r="E623" s="538">
        <f>SUMPRODUCT(D612:D621,E612:E621)</f>
        <v>0</v>
      </c>
      <c r="F623" s="472" t="s">
        <v>1005</v>
      </c>
      <c r="G623" s="539">
        <f>SUM(G612:G621)</f>
        <v>0</v>
      </c>
    </row>
    <row r="624" spans="1:8" ht="19.899999999999999" customHeight="1" x14ac:dyDescent="0.2">
      <c r="A624" s="519"/>
      <c r="B624" s="480"/>
      <c r="C624" s="488"/>
      <c r="D624" s="487"/>
      <c r="E624" s="474"/>
      <c r="F624" s="472"/>
      <c r="G624" s="525"/>
    </row>
    <row r="625" spans="1:7" ht="19.899999999999999" customHeight="1" x14ac:dyDescent="0.2">
      <c r="A625" s="526"/>
      <c r="B625" s="480"/>
      <c r="C625" s="472" t="s">
        <v>1006</v>
      </c>
      <c r="D625" s="489">
        <f>IFERROR(VLOOKUP(COUNTIF($A$1:A625,"ANALISIS DE PRECIOS"),T_Rendimiento_Equipo,5,FALSE),0)</f>
        <v>0</v>
      </c>
      <c r="E625" s="490" t="str">
        <f ca="1">G607&amp;"/día"</f>
        <v>Km./día</v>
      </c>
      <c r="F625" s="466"/>
      <c r="G625" s="521"/>
    </row>
    <row r="626" spans="1:7" ht="19.899999999999999" customHeight="1" x14ac:dyDescent="0.2">
      <c r="A626" s="519"/>
      <c r="B626" s="480"/>
      <c r="C626" s="175"/>
      <c r="D626" s="473"/>
      <c r="E626" s="474"/>
      <c r="F626" s="472"/>
      <c r="G626" s="521"/>
    </row>
    <row r="627" spans="1:7" ht="19.899999999999999" customHeight="1" x14ac:dyDescent="0.2">
      <c r="A627" s="706" t="s">
        <v>576</v>
      </c>
      <c r="B627" s="707"/>
      <c r="C627" s="708" t="s">
        <v>0</v>
      </c>
      <c r="D627" s="720" t="s">
        <v>1866</v>
      </c>
      <c r="E627" s="720" t="s">
        <v>1865</v>
      </c>
      <c r="F627" s="712" t="s">
        <v>1007</v>
      </c>
      <c r="G627" s="714" t="s">
        <v>26</v>
      </c>
    </row>
    <row r="628" spans="1:7" ht="19.899999999999999" customHeight="1" x14ac:dyDescent="0.2">
      <c r="A628" s="491" t="s">
        <v>577</v>
      </c>
      <c r="B628" s="491" t="s">
        <v>578</v>
      </c>
      <c r="C628" s="709"/>
      <c r="D628" s="721"/>
      <c r="E628" s="711"/>
      <c r="F628" s="713"/>
      <c r="G628" s="715"/>
    </row>
    <row r="629" spans="1:7" ht="19.899999999999999" customHeight="1" x14ac:dyDescent="0.2">
      <c r="A629" s="527"/>
      <c r="B629" s="175"/>
      <c r="C629" s="469" t="s">
        <v>1008</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27</v>
      </c>
      <c r="G639" s="531">
        <f>SUBTOTAL(9,G630:G638)</f>
        <v>0</v>
      </c>
    </row>
    <row r="640" spans="1:7" ht="19.899999999999999" customHeight="1" x14ac:dyDescent="0.2">
      <c r="A640" s="527"/>
      <c r="B640" s="175"/>
      <c r="C640" s="469" t="s">
        <v>713</v>
      </c>
      <c r="D640" s="473"/>
      <c r="E640" s="474"/>
      <c r="F640" s="475"/>
      <c r="G640" s="528"/>
    </row>
    <row r="641" spans="1:7" ht="19.899999999999999" customHeight="1" x14ac:dyDescent="0.2">
      <c r="A641" s="706" t="s">
        <v>576</v>
      </c>
      <c r="B641" s="707"/>
      <c r="C641" s="708" t="s">
        <v>0</v>
      </c>
      <c r="D641" s="710" t="s">
        <v>24</v>
      </c>
      <c r="E641" s="710" t="s">
        <v>1832</v>
      </c>
      <c r="F641" s="712" t="s">
        <v>1007</v>
      </c>
      <c r="G641" s="714" t="s">
        <v>26</v>
      </c>
    </row>
    <row r="642" spans="1:7" ht="19.899999999999999" customHeight="1" x14ac:dyDescent="0.2">
      <c r="A642" s="491" t="s">
        <v>577</v>
      </c>
      <c r="B642" s="491" t="s">
        <v>578</v>
      </c>
      <c r="C642" s="709"/>
      <c r="D642" s="711"/>
      <c r="E642" s="711"/>
      <c r="F642" s="713"/>
      <c r="G642" s="715"/>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28</v>
      </c>
      <c r="G650" s="532">
        <f>SUBTOTAL(9,G643:G649)</f>
        <v>0</v>
      </c>
    </row>
    <row r="651" spans="1:7" ht="19.899999999999999" customHeight="1" x14ac:dyDescent="0.2">
      <c r="A651" s="527"/>
      <c r="B651" s="175"/>
      <c r="C651" s="469" t="s">
        <v>1014</v>
      </c>
      <c r="D651" s="473"/>
      <c r="E651" s="474"/>
      <c r="F651" s="475"/>
      <c r="G651" s="528"/>
    </row>
    <row r="652" spans="1:7" ht="19.899999999999999" customHeight="1" x14ac:dyDescent="0.2">
      <c r="A652" s="706" t="s">
        <v>576</v>
      </c>
      <c r="B652" s="707"/>
      <c r="C652" s="708" t="s">
        <v>0</v>
      </c>
      <c r="D652" s="708" t="s">
        <v>1867</v>
      </c>
      <c r="E652" s="710" t="s">
        <v>24</v>
      </c>
      <c r="F652" s="712" t="s">
        <v>25</v>
      </c>
      <c r="G652" s="714" t="s">
        <v>26</v>
      </c>
    </row>
    <row r="653" spans="1:7" ht="19.899999999999999" customHeight="1" x14ac:dyDescent="0.2">
      <c r="A653" s="491" t="s">
        <v>577</v>
      </c>
      <c r="B653" s="491" t="s">
        <v>578</v>
      </c>
      <c r="C653" s="709"/>
      <c r="D653" s="709"/>
      <c r="E653" s="711"/>
      <c r="F653" s="713"/>
      <c r="G653" s="715"/>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8" ht="19.899999999999999" customHeight="1" x14ac:dyDescent="0.2">
      <c r="A657" s="529">
        <f t="shared" si="147"/>
        <v>0</v>
      </c>
      <c r="B657" s="492">
        <f t="shared" si="148"/>
        <v>0</v>
      </c>
      <c r="C657" s="492"/>
      <c r="D657" s="540">
        <f t="shared" si="149"/>
        <v>0</v>
      </c>
      <c r="E657" s="484"/>
      <c r="F657" s="486">
        <f t="shared" si="150"/>
        <v>0</v>
      </c>
      <c r="G657" s="486">
        <f t="shared" si="151"/>
        <v>0</v>
      </c>
    </row>
    <row r="658" spans="1:8" ht="19.899999999999999" customHeight="1" x14ac:dyDescent="0.2">
      <c r="A658" s="529">
        <f t="shared" si="147"/>
        <v>0</v>
      </c>
      <c r="B658" s="492">
        <f t="shared" si="148"/>
        <v>0</v>
      </c>
      <c r="C658" s="492"/>
      <c r="D658" s="540">
        <f t="shared" si="149"/>
        <v>0</v>
      </c>
      <c r="E658" s="484"/>
      <c r="F658" s="486">
        <f t="shared" si="150"/>
        <v>0</v>
      </c>
      <c r="G658" s="486">
        <f t="shared" si="151"/>
        <v>0</v>
      </c>
    </row>
    <row r="659" spans="1:8" ht="19.899999999999999" customHeight="1" x14ac:dyDescent="0.2">
      <c r="A659" s="529">
        <f t="shared" si="147"/>
        <v>0</v>
      </c>
      <c r="B659" s="492">
        <f t="shared" si="148"/>
        <v>0</v>
      </c>
      <c r="C659" s="492"/>
      <c r="D659" s="540">
        <f t="shared" si="149"/>
        <v>0</v>
      </c>
      <c r="E659" s="484"/>
      <c r="F659" s="486">
        <f t="shared" si="150"/>
        <v>0</v>
      </c>
      <c r="G659" s="486">
        <f t="shared" si="151"/>
        <v>0</v>
      </c>
    </row>
    <row r="660" spans="1:8" ht="19.899999999999999" customHeight="1" x14ac:dyDescent="0.2">
      <c r="A660" s="529">
        <f t="shared" si="147"/>
        <v>0</v>
      </c>
      <c r="B660" s="492">
        <f t="shared" si="148"/>
        <v>0</v>
      </c>
      <c r="C660" s="492"/>
      <c r="D660" s="540">
        <f t="shared" si="149"/>
        <v>0</v>
      </c>
      <c r="E660" s="484"/>
      <c r="F660" s="486">
        <f t="shared" si="150"/>
        <v>0</v>
      </c>
      <c r="G660" s="486">
        <f t="shared" si="151"/>
        <v>0</v>
      </c>
    </row>
    <row r="661" spans="1:8" ht="19.899999999999999" customHeight="1" x14ac:dyDescent="0.2">
      <c r="A661" s="529">
        <f t="shared" si="147"/>
        <v>0</v>
      </c>
      <c r="B661" s="492">
        <f t="shared" si="148"/>
        <v>0</v>
      </c>
      <c r="C661" s="492"/>
      <c r="D661" s="540">
        <f t="shared" si="149"/>
        <v>0</v>
      </c>
      <c r="E661" s="484"/>
      <c r="F661" s="486">
        <f t="shared" si="150"/>
        <v>0</v>
      </c>
      <c r="G661" s="486">
        <f t="shared" si="151"/>
        <v>0</v>
      </c>
    </row>
    <row r="662" spans="1:8" ht="19.899999999999999" customHeight="1" x14ac:dyDescent="0.2">
      <c r="A662" s="529">
        <f t="shared" si="147"/>
        <v>0</v>
      </c>
      <c r="B662" s="492">
        <f t="shared" si="148"/>
        <v>0</v>
      </c>
      <c r="C662" s="492"/>
      <c r="D662" s="540">
        <f t="shared" si="149"/>
        <v>0</v>
      </c>
      <c r="E662" s="484"/>
      <c r="F662" s="486">
        <f t="shared" si="150"/>
        <v>0</v>
      </c>
      <c r="G662" s="486">
        <f t="shared" si="151"/>
        <v>0</v>
      </c>
    </row>
    <row r="663" spans="1:8" ht="19.899999999999999" customHeight="1" x14ac:dyDescent="0.2">
      <c r="A663" s="529">
        <f t="shared" si="147"/>
        <v>0</v>
      </c>
      <c r="B663" s="492">
        <f t="shared" si="148"/>
        <v>0</v>
      </c>
      <c r="C663" s="492"/>
      <c r="D663" s="540">
        <f t="shared" si="149"/>
        <v>0</v>
      </c>
      <c r="E663" s="484"/>
      <c r="F663" s="486">
        <f t="shared" si="150"/>
        <v>0</v>
      </c>
      <c r="G663" s="486">
        <f t="shared" si="151"/>
        <v>0</v>
      </c>
    </row>
    <row r="664" spans="1:8" ht="19.899999999999999" customHeight="1" x14ac:dyDescent="0.2">
      <c r="A664" s="529">
        <f t="shared" si="147"/>
        <v>0</v>
      </c>
      <c r="B664" s="492">
        <f t="shared" si="148"/>
        <v>0</v>
      </c>
      <c r="C664" s="492"/>
      <c r="D664" s="540">
        <f t="shared" si="149"/>
        <v>0</v>
      </c>
      <c r="E664" s="484"/>
      <c r="F664" s="486">
        <f t="shared" si="150"/>
        <v>0</v>
      </c>
      <c r="G664" s="486">
        <f t="shared" si="151"/>
        <v>0</v>
      </c>
    </row>
    <row r="665" spans="1:8" ht="19.899999999999999" customHeight="1" x14ac:dyDescent="0.2">
      <c r="A665" s="527"/>
      <c r="B665" s="175"/>
      <c r="C665" s="175"/>
      <c r="D665" s="473"/>
      <c r="E665" s="474"/>
      <c r="F665" s="495" t="s">
        <v>29</v>
      </c>
      <c r="G665" s="532">
        <f>SUBTOTAL(9,G654:G664)</f>
        <v>0</v>
      </c>
    </row>
    <row r="666" spans="1:8" ht="19.899999999999999" customHeight="1" x14ac:dyDescent="0.2">
      <c r="A666" s="527"/>
      <c r="B666" s="175"/>
      <c r="C666" s="469" t="s">
        <v>1015</v>
      </c>
      <c r="D666" s="473"/>
      <c r="E666" s="474"/>
      <c r="F666" s="475"/>
      <c r="G666" s="528"/>
    </row>
    <row r="667" spans="1:8" ht="19.899999999999999" customHeight="1" x14ac:dyDescent="0.2">
      <c r="A667" s="706" t="s">
        <v>576</v>
      </c>
      <c r="B667" s="707"/>
      <c r="C667" s="708" t="s">
        <v>0</v>
      </c>
      <c r="D667" s="708" t="s">
        <v>1867</v>
      </c>
      <c r="E667" s="710" t="s">
        <v>24</v>
      </c>
      <c r="F667" s="712" t="s">
        <v>25</v>
      </c>
      <c r="G667" s="714" t="s">
        <v>26</v>
      </c>
    </row>
    <row r="668" spans="1:8" ht="19.899999999999999" customHeight="1" x14ac:dyDescent="0.2">
      <c r="A668" s="491" t="s">
        <v>577</v>
      </c>
      <c r="B668" s="491" t="s">
        <v>578</v>
      </c>
      <c r="C668" s="709"/>
      <c r="D668" s="709"/>
      <c r="E668" s="711"/>
      <c r="F668" s="713"/>
      <c r="G668" s="715"/>
    </row>
    <row r="669" spans="1:8"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x14ac:dyDescent="0.2">
      <c r="A671" s="527"/>
      <c r="B671" s="175"/>
      <c r="C671" s="175"/>
      <c r="D671" s="473"/>
      <c r="E671" s="474"/>
      <c r="F671" s="495" t="s">
        <v>1016</v>
      </c>
      <c r="G671" s="532">
        <f>SUBTOTAL(9,G669:G670)</f>
        <v>0</v>
      </c>
      <c r="H671" s="65"/>
    </row>
    <row r="672" spans="1:8" ht="19.899999999999999" customHeight="1" x14ac:dyDescent="0.2">
      <c r="A672" s="530"/>
      <c r="B672" s="473"/>
      <c r="C672" s="175"/>
      <c r="D672" s="473"/>
      <c r="E672" s="474"/>
      <c r="F672" s="475"/>
      <c r="G672" s="528"/>
      <c r="H672" s="65"/>
    </row>
    <row r="673" spans="1:8" ht="19.899999999999999" customHeight="1" x14ac:dyDescent="0.2">
      <c r="A673" s="588" t="str">
        <f>B607</f>
        <v>7.2</v>
      </c>
      <c r="B673" s="585" t="str">
        <f ca="1">C607</f>
        <v>B)- Adicional por Km.</v>
      </c>
      <c r="C673" s="473"/>
      <c r="D673" s="473" t="s">
        <v>1833</v>
      </c>
      <c r="E673" s="586"/>
      <c r="F673" s="587" t="str">
        <f ca="1">"$/"&amp;G607</f>
        <v>$/Km.</v>
      </c>
      <c r="G673" s="537">
        <f>SUBTOTAL(9,G630:G672)</f>
        <v>0</v>
      </c>
      <c r="H673" s="65"/>
    </row>
    <row r="674" spans="1:8" ht="19.899999999999999" customHeight="1" x14ac:dyDescent="0.2">
      <c r="A674" s="533"/>
      <c r="B674" s="534"/>
      <c r="C674" s="535"/>
      <c r="D674" s="535" t="s">
        <v>2043</v>
      </c>
      <c r="E674" s="536"/>
      <c r="F674" s="589" t="str">
        <f ca="1">"$/"&amp;G607</f>
        <v>$/Km.</v>
      </c>
      <c r="G674" s="537">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16" t="s">
        <v>31</v>
      </c>
      <c r="B676" s="717"/>
      <c r="C676" s="717"/>
      <c r="D676" s="717"/>
      <c r="E676" s="717"/>
      <c r="F676" s="717"/>
      <c r="G676" s="718"/>
    </row>
    <row r="677" spans="1:8" ht="19.899999999999999" customHeight="1" x14ac:dyDescent="0.2">
      <c r="A677" s="516" t="s">
        <v>711</v>
      </c>
      <c r="B677" s="467" t="str">
        <f>Comitente</f>
        <v>DIRECCIÓN PROVINCIAL DE VIALIDAD</v>
      </c>
      <c r="C677" s="468"/>
      <c r="D677" s="469"/>
      <c r="E677" s="469"/>
      <c r="F677" s="470"/>
      <c r="G677" s="517"/>
    </row>
    <row r="678" spans="1:8" ht="19.899999999999999" customHeight="1" x14ac:dyDescent="0.2">
      <c r="A678" s="516" t="s">
        <v>712</v>
      </c>
      <c r="B678" s="467">
        <f>Contratista</f>
        <v>0</v>
      </c>
      <c r="C678" s="471"/>
      <c r="D678" s="471"/>
      <c r="E678" s="471"/>
      <c r="F678" s="467"/>
      <c r="G678" s="518"/>
    </row>
    <row r="679" spans="1:8" ht="19.899999999999999" customHeight="1" x14ac:dyDescent="0.2">
      <c r="A679" s="516" t="s">
        <v>21</v>
      </c>
      <c r="B679" s="467" t="str">
        <f>Obra</f>
        <v>OBRA BÁSICA Y PAVIMENTACIÓN CALLE GÜEMES</v>
      </c>
      <c r="C679" s="471"/>
      <c r="D679" s="471"/>
      <c r="E679" s="471"/>
      <c r="F679" s="467" t="s">
        <v>32</v>
      </c>
      <c r="G679" s="518">
        <f>Fecha_Base</f>
        <v>0</v>
      </c>
    </row>
    <row r="680" spans="1:8" ht="19.899999999999999" customHeight="1" x14ac:dyDescent="0.2">
      <c r="A680" s="519" t="s">
        <v>710</v>
      </c>
      <c r="B680" s="472" t="str">
        <f>Ubicación</f>
        <v>Rawson - Santa Lucia</v>
      </c>
      <c r="C680" s="472"/>
      <c r="D680" s="473"/>
      <c r="E680" s="474"/>
      <c r="F680" s="475"/>
      <c r="G680" s="520"/>
    </row>
    <row r="681" spans="1:8" ht="19.899999999999999" customHeight="1" x14ac:dyDescent="0.2">
      <c r="A681" s="519" t="s">
        <v>33</v>
      </c>
      <c r="B681" s="476" t="str">
        <f>IFERROR(VALUE(LEFT(B682,FIND(".",B682)-1)),"")</f>
        <v/>
      </c>
      <c r="C681" s="175">
        <f ca="1">IFERROR(VLOOKUP(B681,T_Computo_Presupuesto,2,FALSE),0)</f>
        <v>0</v>
      </c>
      <c r="D681" s="175"/>
      <c r="E681" s="474"/>
      <c r="F681" s="475"/>
      <c r="G681" s="520"/>
    </row>
    <row r="682" spans="1:8" ht="19.899999999999999" customHeight="1" x14ac:dyDescent="0.2">
      <c r="A682" s="519" t="s">
        <v>22</v>
      </c>
      <c r="B682" s="477">
        <f>IFERROR(VLOOKUP(COUNTIF($A$1:A682,"ANALISIS DE PRECIOS"),T_NumeroItem,2,FALSE),"")</f>
        <v>8</v>
      </c>
      <c r="C682" s="719" t="str">
        <f ca="1">IFERROR(VLOOKUP(B682,T_Computo_Presupuesto,2,FALSE),0)</f>
        <v>Movilización de Obra</v>
      </c>
      <c r="D682" s="719"/>
      <c r="E682" s="719"/>
      <c r="F682" s="472" t="s">
        <v>23</v>
      </c>
      <c r="G682" s="521" t="str">
        <f ca="1">IFERROR(VLOOKUP(B682,T_Computo_Presupuesto,4,FALSE),0)</f>
        <v>gl</v>
      </c>
    </row>
    <row r="683" spans="1:8" ht="19.899999999999999" customHeight="1" x14ac:dyDescent="0.2">
      <c r="A683" s="519"/>
      <c r="B683" s="472"/>
      <c r="C683" s="175"/>
      <c r="D683" s="473"/>
      <c r="E683" s="474"/>
      <c r="F683" s="175"/>
      <c r="G683" s="522"/>
    </row>
    <row r="684" spans="1:8" ht="19.899999999999999" customHeight="1" x14ac:dyDescent="0.2">
      <c r="A684" s="523"/>
      <c r="B684" s="478"/>
      <c r="C684" s="479" t="s">
        <v>999</v>
      </c>
      <c r="D684" s="478"/>
      <c r="E684" s="478"/>
      <c r="F684" s="478"/>
      <c r="G684" s="524"/>
    </row>
    <row r="685" spans="1:8" ht="19.899999999999999" customHeight="1" x14ac:dyDescent="0.2">
      <c r="A685" s="519"/>
      <c r="B685" s="480"/>
      <c r="C685" s="175"/>
      <c r="D685" s="473"/>
      <c r="E685" s="474"/>
      <c r="F685" s="472"/>
      <c r="G685" s="521"/>
    </row>
    <row r="686" spans="1:8" ht="19.899999999999999" customHeight="1" x14ac:dyDescent="0.2">
      <c r="A686" s="519"/>
      <c r="B686" s="480"/>
      <c r="C686" s="481" t="s">
        <v>1000</v>
      </c>
      <c r="D686" s="482" t="s">
        <v>24</v>
      </c>
      <c r="E686" s="482" t="s">
        <v>1001</v>
      </c>
      <c r="F686" s="482" t="s">
        <v>1002</v>
      </c>
      <c r="G686" s="481" t="s">
        <v>1003</v>
      </c>
    </row>
    <row r="687" spans="1:8"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1004</v>
      </c>
      <c r="D698" s="472" t="s">
        <v>1001</v>
      </c>
      <c r="E698" s="538">
        <f>SUMPRODUCT(D687:D696,E687:E696)</f>
        <v>0</v>
      </c>
      <c r="F698" s="472" t="s">
        <v>1005</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1006</v>
      </c>
      <c r="D700" s="489">
        <f>IFERROR(VLOOKUP(COUNTIF($A$1:A700,"ANALISIS DE PRECIOS"),T_Rendimiento_Equipo,5,FALSE),0)</f>
        <v>0</v>
      </c>
      <c r="E700" s="490" t="str">
        <f ca="1">G682&amp;"/día"</f>
        <v>gl/día</v>
      </c>
      <c r="F700" s="466"/>
      <c r="G700" s="521"/>
    </row>
    <row r="701" spans="1:7" ht="19.899999999999999" customHeight="1" x14ac:dyDescent="0.2">
      <c r="A701" s="519"/>
      <c r="B701" s="480"/>
      <c r="C701" s="175"/>
      <c r="D701" s="473"/>
      <c r="E701" s="474"/>
      <c r="F701" s="472"/>
      <c r="G701" s="521"/>
    </row>
    <row r="702" spans="1:7" ht="19.899999999999999" customHeight="1" x14ac:dyDescent="0.2">
      <c r="A702" s="706" t="s">
        <v>576</v>
      </c>
      <c r="B702" s="707"/>
      <c r="C702" s="708" t="s">
        <v>0</v>
      </c>
      <c r="D702" s="720" t="s">
        <v>1866</v>
      </c>
      <c r="E702" s="720" t="s">
        <v>1865</v>
      </c>
      <c r="F702" s="712" t="s">
        <v>1007</v>
      </c>
      <c r="G702" s="714" t="s">
        <v>26</v>
      </c>
    </row>
    <row r="703" spans="1:7" ht="19.899999999999999" customHeight="1" x14ac:dyDescent="0.2">
      <c r="A703" s="491" t="s">
        <v>577</v>
      </c>
      <c r="B703" s="491" t="s">
        <v>578</v>
      </c>
      <c r="C703" s="709"/>
      <c r="D703" s="721"/>
      <c r="E703" s="711"/>
      <c r="F703" s="713"/>
      <c r="G703" s="715"/>
    </row>
    <row r="704" spans="1:7" ht="19.899999999999999" customHeight="1" x14ac:dyDescent="0.2">
      <c r="A704" s="527"/>
      <c r="B704" s="175"/>
      <c r="C704" s="469" t="s">
        <v>1008</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27</v>
      </c>
      <c r="G714" s="531">
        <f>SUBTOTAL(9,G705:G713)</f>
        <v>0</v>
      </c>
    </row>
    <row r="715" spans="1:7" ht="19.899999999999999" customHeight="1" x14ac:dyDescent="0.2">
      <c r="A715" s="527"/>
      <c r="B715" s="175"/>
      <c r="C715" s="469" t="s">
        <v>713</v>
      </c>
      <c r="D715" s="473"/>
      <c r="E715" s="474"/>
      <c r="F715" s="475"/>
      <c r="G715" s="528"/>
    </row>
    <row r="716" spans="1:7" ht="19.899999999999999" customHeight="1" x14ac:dyDescent="0.2">
      <c r="A716" s="706" t="s">
        <v>576</v>
      </c>
      <c r="B716" s="707"/>
      <c r="C716" s="708" t="s">
        <v>0</v>
      </c>
      <c r="D716" s="710" t="s">
        <v>24</v>
      </c>
      <c r="E716" s="710" t="s">
        <v>1832</v>
      </c>
      <c r="F716" s="712" t="s">
        <v>1007</v>
      </c>
      <c r="G716" s="714" t="s">
        <v>26</v>
      </c>
    </row>
    <row r="717" spans="1:7" ht="19.899999999999999" customHeight="1" x14ac:dyDescent="0.2">
      <c r="A717" s="491" t="s">
        <v>577</v>
      </c>
      <c r="B717" s="491" t="s">
        <v>578</v>
      </c>
      <c r="C717" s="709"/>
      <c r="D717" s="711"/>
      <c r="E717" s="711"/>
      <c r="F717" s="713"/>
      <c r="G717" s="715"/>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28</v>
      </c>
      <c r="G725" s="532">
        <f>SUBTOTAL(9,G718:G724)</f>
        <v>0</v>
      </c>
    </row>
    <row r="726" spans="1:7" ht="19.899999999999999" customHeight="1" x14ac:dyDescent="0.2">
      <c r="A726" s="527"/>
      <c r="B726" s="175"/>
      <c r="C726" s="469" t="s">
        <v>1014</v>
      </c>
      <c r="D726" s="473"/>
      <c r="E726" s="474"/>
      <c r="F726" s="475"/>
      <c r="G726" s="528"/>
    </row>
    <row r="727" spans="1:7" ht="19.899999999999999" customHeight="1" x14ac:dyDescent="0.2">
      <c r="A727" s="706" t="s">
        <v>576</v>
      </c>
      <c r="B727" s="707"/>
      <c r="C727" s="708" t="s">
        <v>0</v>
      </c>
      <c r="D727" s="708" t="s">
        <v>1867</v>
      </c>
      <c r="E727" s="710" t="s">
        <v>24</v>
      </c>
      <c r="F727" s="712" t="s">
        <v>25</v>
      </c>
      <c r="G727" s="714" t="s">
        <v>26</v>
      </c>
    </row>
    <row r="728" spans="1:7" ht="19.899999999999999" customHeight="1" x14ac:dyDescent="0.2">
      <c r="A728" s="491" t="s">
        <v>577</v>
      </c>
      <c r="B728" s="491" t="s">
        <v>578</v>
      </c>
      <c r="C728" s="709"/>
      <c r="D728" s="709"/>
      <c r="E728" s="711"/>
      <c r="F728" s="713"/>
      <c r="G728" s="715"/>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7" ht="19.899999999999999" customHeight="1" x14ac:dyDescent="0.2">
      <c r="A737" s="529">
        <f t="shared" si="164"/>
        <v>0</v>
      </c>
      <c r="B737" s="492">
        <f t="shared" si="165"/>
        <v>0</v>
      </c>
      <c r="C737" s="492"/>
      <c r="D737" s="540">
        <f t="shared" si="166"/>
        <v>0</v>
      </c>
      <c r="E737" s="484"/>
      <c r="F737" s="486">
        <f t="shared" si="167"/>
        <v>0</v>
      </c>
      <c r="G737" s="486">
        <f t="shared" si="168"/>
        <v>0</v>
      </c>
    </row>
    <row r="738" spans="1:7" ht="19.899999999999999" customHeight="1" x14ac:dyDescent="0.2">
      <c r="A738" s="529">
        <f t="shared" si="164"/>
        <v>0</v>
      </c>
      <c r="B738" s="492">
        <f t="shared" si="165"/>
        <v>0</v>
      </c>
      <c r="C738" s="492"/>
      <c r="D738" s="540">
        <f t="shared" si="166"/>
        <v>0</v>
      </c>
      <c r="E738" s="484"/>
      <c r="F738" s="486">
        <f t="shared" si="167"/>
        <v>0</v>
      </c>
      <c r="G738" s="486">
        <f t="shared" si="168"/>
        <v>0</v>
      </c>
    </row>
    <row r="739" spans="1:7" ht="19.899999999999999" customHeight="1" x14ac:dyDescent="0.2">
      <c r="A739" s="529">
        <f t="shared" si="164"/>
        <v>0</v>
      </c>
      <c r="B739" s="492">
        <f t="shared" si="165"/>
        <v>0</v>
      </c>
      <c r="C739" s="492"/>
      <c r="D739" s="540">
        <f t="shared" si="166"/>
        <v>0</v>
      </c>
      <c r="E739" s="484"/>
      <c r="F739" s="486">
        <f t="shared" si="167"/>
        <v>0</v>
      </c>
      <c r="G739" s="486">
        <f t="shared" si="168"/>
        <v>0</v>
      </c>
    </row>
    <row r="740" spans="1:7" ht="19.899999999999999" customHeight="1" x14ac:dyDescent="0.2">
      <c r="A740" s="527"/>
      <c r="B740" s="175"/>
      <c r="C740" s="175"/>
      <c r="D740" s="473"/>
      <c r="E740" s="474"/>
      <c r="F740" s="495" t="s">
        <v>29</v>
      </c>
      <c r="G740" s="532">
        <f>SUBTOTAL(9,G729:G739)</f>
        <v>0</v>
      </c>
    </row>
    <row r="741" spans="1:7" ht="19.899999999999999" customHeight="1" x14ac:dyDescent="0.2">
      <c r="A741" s="527"/>
      <c r="B741" s="175"/>
      <c r="C741" s="469" t="s">
        <v>1015</v>
      </c>
      <c r="D741" s="473"/>
      <c r="E741" s="474"/>
      <c r="F741" s="475"/>
      <c r="G741" s="528"/>
    </row>
    <row r="742" spans="1:7" ht="19.899999999999999" customHeight="1" x14ac:dyDescent="0.2">
      <c r="A742" s="706" t="s">
        <v>576</v>
      </c>
      <c r="B742" s="707"/>
      <c r="C742" s="708" t="s">
        <v>0</v>
      </c>
      <c r="D742" s="708" t="s">
        <v>1867</v>
      </c>
      <c r="E742" s="710" t="s">
        <v>24</v>
      </c>
      <c r="F742" s="712" t="s">
        <v>25</v>
      </c>
      <c r="G742" s="714" t="s">
        <v>26</v>
      </c>
    </row>
    <row r="743" spans="1:7" ht="19.899999999999999" customHeight="1" x14ac:dyDescent="0.2">
      <c r="A743" s="491" t="s">
        <v>577</v>
      </c>
      <c r="B743" s="491" t="s">
        <v>578</v>
      </c>
      <c r="C743" s="709"/>
      <c r="D743" s="709"/>
      <c r="E743" s="711"/>
      <c r="F743" s="713"/>
      <c r="G743" s="715"/>
    </row>
    <row r="744" spans="1:7"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x14ac:dyDescent="0.2">
      <c r="A746" s="527"/>
      <c r="B746" s="175"/>
      <c r="C746" s="175"/>
      <c r="D746" s="473"/>
      <c r="E746" s="474"/>
      <c r="F746" s="495" t="s">
        <v>1016</v>
      </c>
      <c r="G746" s="532">
        <f>SUBTOTAL(9,G744:G745)</f>
        <v>0</v>
      </c>
    </row>
    <row r="747" spans="1:7" ht="19.899999999999999" customHeight="1" x14ac:dyDescent="0.2">
      <c r="A747" s="530"/>
      <c r="B747" s="473"/>
      <c r="C747" s="175"/>
      <c r="D747" s="473"/>
      <c r="E747" s="474"/>
      <c r="F747" s="475"/>
      <c r="G747" s="528"/>
    </row>
    <row r="748" spans="1:7" ht="19.899999999999999" customHeight="1" x14ac:dyDescent="0.2">
      <c r="A748" s="588">
        <f>B682</f>
        <v>8</v>
      </c>
      <c r="B748" s="585" t="str">
        <f ca="1">C682</f>
        <v>Movilización de Obra</v>
      </c>
      <c r="C748" s="473"/>
      <c r="D748" s="473" t="s">
        <v>1833</v>
      </c>
      <c r="E748" s="586"/>
      <c r="F748" s="587" t="str">
        <f ca="1">"$/"&amp;G682</f>
        <v>$/gl</v>
      </c>
      <c r="G748" s="537">
        <f>SUBTOTAL(9,G705:G747)</f>
        <v>0</v>
      </c>
    </row>
    <row r="749" spans="1:7" ht="19.899999999999999" customHeight="1" x14ac:dyDescent="0.2">
      <c r="A749" s="533"/>
      <c r="B749" s="534"/>
      <c r="C749" s="535"/>
      <c r="D749" s="535" t="s">
        <v>2043</v>
      </c>
      <c r="E749" s="536"/>
      <c r="F749" s="589" t="str">
        <f ca="1">"$/"&amp;G682</f>
        <v>$/gl</v>
      </c>
      <c r="G749" s="537">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16" t="s">
        <v>31</v>
      </c>
      <c r="B751" s="717"/>
      <c r="C751" s="717"/>
      <c r="D751" s="717"/>
      <c r="E751" s="717"/>
      <c r="F751" s="717"/>
      <c r="G751" s="718"/>
    </row>
    <row r="752" spans="1:7" ht="19.899999999999999" customHeight="1" x14ac:dyDescent="0.2">
      <c r="A752" s="516" t="s">
        <v>711</v>
      </c>
      <c r="B752" s="467" t="str">
        <f>Comitente</f>
        <v>DIRECCIÓN PROVINCIAL DE VIALIDAD</v>
      </c>
      <c r="C752" s="468"/>
      <c r="D752" s="469"/>
      <c r="E752" s="469"/>
      <c r="F752" s="470"/>
      <c r="G752" s="517"/>
    </row>
    <row r="753" spans="1:7" ht="19.899999999999999" customHeight="1" x14ac:dyDescent="0.2">
      <c r="A753" s="516" t="s">
        <v>712</v>
      </c>
      <c r="B753" s="467">
        <f>Contratista</f>
        <v>0</v>
      </c>
      <c r="C753" s="471"/>
      <c r="D753" s="471"/>
      <c r="E753" s="471"/>
      <c r="F753" s="467"/>
      <c r="G753" s="518"/>
    </row>
    <row r="754" spans="1:7" ht="19.899999999999999" customHeight="1" x14ac:dyDescent="0.2">
      <c r="A754" s="516" t="s">
        <v>21</v>
      </c>
      <c r="B754" s="467" t="str">
        <f>Obra</f>
        <v>OBRA BÁSICA Y PAVIMENTACIÓN CALLE GÜEMES</v>
      </c>
      <c r="C754" s="471"/>
      <c r="D754" s="471"/>
      <c r="E754" s="471"/>
      <c r="F754" s="467" t="s">
        <v>32</v>
      </c>
      <c r="G754" s="518">
        <f>Fecha_Base</f>
        <v>0</v>
      </c>
    </row>
    <row r="755" spans="1:7" ht="19.899999999999999" customHeight="1" x14ac:dyDescent="0.2">
      <c r="A755" s="519" t="s">
        <v>710</v>
      </c>
      <c r="B755" s="472" t="str">
        <f>Ubicación</f>
        <v>Rawson - Santa Lucia</v>
      </c>
      <c r="C755" s="472"/>
      <c r="D755" s="473"/>
      <c r="E755" s="474"/>
      <c r="F755" s="475"/>
      <c r="G755" s="520"/>
    </row>
    <row r="756" spans="1:7" ht="19.899999999999999" customHeight="1" x14ac:dyDescent="0.2">
      <c r="A756" s="519" t="s">
        <v>33</v>
      </c>
      <c r="B756" s="476" t="str">
        <f>IFERROR(VALUE(LEFT(B757,FIND(".",B757)-1)),"")</f>
        <v/>
      </c>
      <c r="C756" s="175">
        <f ca="1">IFERROR(VLOOKUP(B756,T_Computo_Presupuesto,2,FALSE),0)</f>
        <v>0</v>
      </c>
      <c r="D756" s="175"/>
      <c r="E756" s="474"/>
      <c r="F756" s="475"/>
      <c r="G756" s="520"/>
    </row>
    <row r="757" spans="1:7" ht="19.899999999999999" customHeight="1" x14ac:dyDescent="0.2">
      <c r="A757" s="519" t="s">
        <v>22</v>
      </c>
      <c r="B757" s="477" t="str">
        <f>IFERROR(VLOOKUP(COUNTIF($A$1:A757,"ANALISIS DE PRECIOS"),T_NumeroItem,2,FALSE),"")</f>
        <v/>
      </c>
      <c r="C757" s="719">
        <f ca="1">IFERROR(VLOOKUP(B757,T_Computo_Presupuesto,2,FALSE),0)</f>
        <v>0</v>
      </c>
      <c r="D757" s="719"/>
      <c r="E757" s="719"/>
      <c r="F757" s="472" t="s">
        <v>23</v>
      </c>
      <c r="G757" s="521">
        <f ca="1">IFERROR(VLOOKUP(B757,T_Computo_Presupuesto,4,FALSE),0)</f>
        <v>0</v>
      </c>
    </row>
    <row r="758" spans="1:7" ht="19.899999999999999" customHeight="1" x14ac:dyDescent="0.2">
      <c r="A758" s="519"/>
      <c r="B758" s="472"/>
      <c r="C758" s="175"/>
      <c r="D758" s="473"/>
      <c r="E758" s="474"/>
      <c r="F758" s="175"/>
      <c r="G758" s="522"/>
    </row>
    <row r="759" spans="1:7" ht="19.899999999999999" customHeight="1" x14ac:dyDescent="0.2">
      <c r="A759" s="523"/>
      <c r="B759" s="478"/>
      <c r="C759" s="479" t="s">
        <v>999</v>
      </c>
      <c r="D759" s="478"/>
      <c r="E759" s="478"/>
      <c r="F759" s="478"/>
      <c r="G759" s="524"/>
    </row>
    <row r="760" spans="1:7" ht="19.899999999999999" customHeight="1" x14ac:dyDescent="0.2">
      <c r="A760" s="519"/>
      <c r="B760" s="480"/>
      <c r="C760" s="175"/>
      <c r="D760" s="473"/>
      <c r="E760" s="474"/>
      <c r="F760" s="472"/>
      <c r="G760" s="521"/>
    </row>
    <row r="761" spans="1:7" ht="19.899999999999999" customHeight="1" x14ac:dyDescent="0.2">
      <c r="A761" s="519"/>
      <c r="B761" s="480"/>
      <c r="C761" s="481" t="s">
        <v>1000</v>
      </c>
      <c r="D761" s="482" t="s">
        <v>24</v>
      </c>
      <c r="E761" s="482" t="s">
        <v>1001</v>
      </c>
      <c r="F761" s="482" t="s">
        <v>1002</v>
      </c>
      <c r="G761" s="481" t="s">
        <v>1003</v>
      </c>
    </row>
    <row r="762" spans="1:7"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x14ac:dyDescent="0.2">
      <c r="A763" s="519"/>
      <c r="B763" s="480"/>
      <c r="C763" s="483"/>
      <c r="D763" s="484"/>
      <c r="E763" s="485">
        <f t="shared" si="170"/>
        <v>0</v>
      </c>
      <c r="F763" s="486">
        <f t="shared" si="171"/>
        <v>0</v>
      </c>
      <c r="G763" s="486">
        <f>ROUND(D763*F763,2)</f>
        <v>0</v>
      </c>
    </row>
    <row r="764" spans="1:7" ht="19.899999999999999" customHeight="1" x14ac:dyDescent="0.2">
      <c r="A764" s="519"/>
      <c r="B764" s="480"/>
      <c r="C764" s="483"/>
      <c r="D764" s="484"/>
      <c r="E764" s="485">
        <f t="shared" si="170"/>
        <v>0</v>
      </c>
      <c r="F764" s="486">
        <f t="shared" si="171"/>
        <v>0</v>
      </c>
      <c r="G764" s="486">
        <f>ROUND(D764*F764,2)</f>
        <v>0</v>
      </c>
    </row>
    <row r="765" spans="1:7" ht="19.899999999999999" customHeight="1" x14ac:dyDescent="0.2">
      <c r="A765" s="519"/>
      <c r="B765" s="480"/>
      <c r="C765" s="483"/>
      <c r="D765" s="484"/>
      <c r="E765" s="485">
        <f t="shared" si="170"/>
        <v>0</v>
      </c>
      <c r="F765" s="486">
        <f t="shared" si="171"/>
        <v>0</v>
      </c>
      <c r="G765" s="486">
        <f>ROUND(D765*F765,2)</f>
        <v>0</v>
      </c>
    </row>
    <row r="766" spans="1:7" ht="19.899999999999999" customHeight="1" x14ac:dyDescent="0.2">
      <c r="A766" s="519"/>
      <c r="B766" s="480"/>
      <c r="C766" s="483"/>
      <c r="D766" s="484"/>
      <c r="E766" s="485">
        <f t="shared" si="170"/>
        <v>0</v>
      </c>
      <c r="F766" s="486">
        <f t="shared" si="171"/>
        <v>0</v>
      </c>
      <c r="G766" s="486">
        <f t="shared" ref="G766:G771" si="172">ROUND(D766*F766,2)</f>
        <v>0</v>
      </c>
    </row>
    <row r="767" spans="1:7" ht="19.899999999999999" customHeight="1" x14ac:dyDescent="0.2">
      <c r="A767" s="519"/>
      <c r="B767" s="480"/>
      <c r="C767" s="483"/>
      <c r="D767" s="484"/>
      <c r="E767" s="485">
        <f t="shared" si="170"/>
        <v>0</v>
      </c>
      <c r="F767" s="486">
        <f t="shared" si="171"/>
        <v>0</v>
      </c>
      <c r="G767" s="486">
        <f t="shared" si="172"/>
        <v>0</v>
      </c>
    </row>
    <row r="768" spans="1:7"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1004</v>
      </c>
      <c r="D773" s="472" t="s">
        <v>1001</v>
      </c>
      <c r="E773" s="538">
        <f>SUMPRODUCT(D762:D771,E762:E771)</f>
        <v>0</v>
      </c>
      <c r="F773" s="472" t="s">
        <v>1005</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1006</v>
      </c>
      <c r="D775" s="489">
        <f>IFERROR(VLOOKUP(COUNTIF($A$1:A775,"ANALISIS DE PRECIOS"),T_Rendimiento_Equipo,5,FALSE),0)</f>
        <v>0</v>
      </c>
      <c r="E775" s="490" t="str">
        <f ca="1">G757&amp;"/día"</f>
        <v>0/día</v>
      </c>
      <c r="F775" s="466"/>
      <c r="G775" s="521"/>
    </row>
    <row r="776" spans="1:7" ht="19.899999999999999" customHeight="1" x14ac:dyDescent="0.2">
      <c r="A776" s="519"/>
      <c r="B776" s="480"/>
      <c r="C776" s="175"/>
      <c r="D776" s="473"/>
      <c r="E776" s="474"/>
      <c r="F776" s="472"/>
      <c r="G776" s="521"/>
    </row>
    <row r="777" spans="1:7" ht="19.899999999999999" customHeight="1" x14ac:dyDescent="0.2">
      <c r="A777" s="706" t="s">
        <v>576</v>
      </c>
      <c r="B777" s="707"/>
      <c r="C777" s="708" t="s">
        <v>0</v>
      </c>
      <c r="D777" s="720" t="s">
        <v>1866</v>
      </c>
      <c r="E777" s="720" t="s">
        <v>1865</v>
      </c>
      <c r="F777" s="712" t="s">
        <v>1007</v>
      </c>
      <c r="G777" s="714" t="s">
        <v>26</v>
      </c>
    </row>
    <row r="778" spans="1:7" ht="19.899999999999999" customHeight="1" x14ac:dyDescent="0.2">
      <c r="A778" s="491" t="s">
        <v>577</v>
      </c>
      <c r="B778" s="491" t="s">
        <v>578</v>
      </c>
      <c r="C778" s="709"/>
      <c r="D778" s="721"/>
      <c r="E778" s="711"/>
      <c r="F778" s="713"/>
      <c r="G778" s="715"/>
    </row>
    <row r="779" spans="1:7" ht="19.899999999999999" customHeight="1" x14ac:dyDescent="0.2">
      <c r="A779" s="527"/>
      <c r="B779" s="175"/>
      <c r="C779" s="469" t="s">
        <v>1008</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27</v>
      </c>
      <c r="G789" s="531">
        <f>SUBTOTAL(9,G780:G788)</f>
        <v>0</v>
      </c>
    </row>
    <row r="790" spans="1:7" ht="19.899999999999999" customHeight="1" x14ac:dyDescent="0.2">
      <c r="A790" s="527"/>
      <c r="B790" s="175"/>
      <c r="C790" s="469" t="s">
        <v>713</v>
      </c>
      <c r="D790" s="473"/>
      <c r="E790" s="474"/>
      <c r="F790" s="475"/>
      <c r="G790" s="528"/>
    </row>
    <row r="791" spans="1:7" ht="19.899999999999999" customHeight="1" x14ac:dyDescent="0.2">
      <c r="A791" s="706" t="s">
        <v>576</v>
      </c>
      <c r="B791" s="707"/>
      <c r="C791" s="708" t="s">
        <v>0</v>
      </c>
      <c r="D791" s="710" t="s">
        <v>24</v>
      </c>
      <c r="E791" s="710" t="s">
        <v>1832</v>
      </c>
      <c r="F791" s="712" t="s">
        <v>1007</v>
      </c>
      <c r="G791" s="714" t="s">
        <v>26</v>
      </c>
    </row>
    <row r="792" spans="1:7" ht="19.899999999999999" customHeight="1" x14ac:dyDescent="0.2">
      <c r="A792" s="491" t="s">
        <v>577</v>
      </c>
      <c r="B792" s="491" t="s">
        <v>578</v>
      </c>
      <c r="C792" s="709"/>
      <c r="D792" s="711"/>
      <c r="E792" s="711"/>
      <c r="F792" s="713"/>
      <c r="G792" s="715"/>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28</v>
      </c>
      <c r="G800" s="532">
        <f>SUBTOTAL(9,G793:G799)</f>
        <v>0</v>
      </c>
    </row>
    <row r="801" spans="1:7" ht="19.899999999999999" customHeight="1" x14ac:dyDescent="0.2">
      <c r="A801" s="527"/>
      <c r="B801" s="175"/>
      <c r="C801" s="469" t="s">
        <v>1014</v>
      </c>
      <c r="D801" s="473"/>
      <c r="E801" s="474"/>
      <c r="F801" s="475"/>
      <c r="G801" s="528"/>
    </row>
    <row r="802" spans="1:7" ht="19.899999999999999" customHeight="1" x14ac:dyDescent="0.2">
      <c r="A802" s="706" t="s">
        <v>576</v>
      </c>
      <c r="B802" s="707"/>
      <c r="C802" s="708" t="s">
        <v>0</v>
      </c>
      <c r="D802" s="708" t="s">
        <v>1867</v>
      </c>
      <c r="E802" s="710" t="s">
        <v>24</v>
      </c>
      <c r="F802" s="712" t="s">
        <v>25</v>
      </c>
      <c r="G802" s="714" t="s">
        <v>26</v>
      </c>
    </row>
    <row r="803" spans="1:7" ht="19.899999999999999" customHeight="1" x14ac:dyDescent="0.2">
      <c r="A803" s="491" t="s">
        <v>577</v>
      </c>
      <c r="B803" s="491" t="s">
        <v>578</v>
      </c>
      <c r="C803" s="709"/>
      <c r="D803" s="709"/>
      <c r="E803" s="711"/>
      <c r="F803" s="713"/>
      <c r="G803" s="715"/>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29</v>
      </c>
      <c r="G815" s="532">
        <f>SUBTOTAL(9,G804:G814)</f>
        <v>0</v>
      </c>
    </row>
    <row r="816" spans="1:7" ht="19.899999999999999" customHeight="1" x14ac:dyDescent="0.2">
      <c r="A816" s="527"/>
      <c r="B816" s="175"/>
      <c r="C816" s="469" t="s">
        <v>1015</v>
      </c>
      <c r="D816" s="473"/>
      <c r="E816" s="474"/>
      <c r="F816" s="475"/>
      <c r="G816" s="528"/>
    </row>
    <row r="817" spans="1:7" ht="19.899999999999999" customHeight="1" x14ac:dyDescent="0.2">
      <c r="A817" s="706" t="s">
        <v>576</v>
      </c>
      <c r="B817" s="707"/>
      <c r="C817" s="708" t="s">
        <v>0</v>
      </c>
      <c r="D817" s="708" t="s">
        <v>1867</v>
      </c>
      <c r="E817" s="710" t="s">
        <v>24</v>
      </c>
      <c r="F817" s="712" t="s">
        <v>25</v>
      </c>
      <c r="G817" s="714" t="s">
        <v>26</v>
      </c>
    </row>
    <row r="818" spans="1:7" ht="19.899999999999999" customHeight="1" x14ac:dyDescent="0.2">
      <c r="A818" s="491" t="s">
        <v>577</v>
      </c>
      <c r="B818" s="491" t="s">
        <v>578</v>
      </c>
      <c r="C818" s="709"/>
      <c r="D818" s="709"/>
      <c r="E818" s="711"/>
      <c r="F818" s="713"/>
      <c r="G818" s="715"/>
    </row>
    <row r="819" spans="1:7"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x14ac:dyDescent="0.2">
      <c r="A821" s="527"/>
      <c r="B821" s="175"/>
      <c r="C821" s="175"/>
      <c r="D821" s="473"/>
      <c r="E821" s="474"/>
      <c r="F821" s="495" t="s">
        <v>1016</v>
      </c>
      <c r="G821" s="532">
        <f>SUBTOTAL(9,G819:G820)</f>
        <v>0</v>
      </c>
    </row>
    <row r="822" spans="1:7" ht="19.899999999999999" customHeight="1" x14ac:dyDescent="0.2">
      <c r="A822" s="530"/>
      <c r="B822" s="473"/>
      <c r="C822" s="175"/>
      <c r="D822" s="473"/>
      <c r="E822" s="474"/>
      <c r="F822" s="475"/>
      <c r="G822" s="528"/>
    </row>
    <row r="823" spans="1:7" ht="19.899999999999999" customHeight="1" x14ac:dyDescent="0.2">
      <c r="A823" s="588" t="str">
        <f>B757</f>
        <v/>
      </c>
      <c r="B823" s="585">
        <f ca="1">C757</f>
        <v>0</v>
      </c>
      <c r="C823" s="473"/>
      <c r="D823" s="473" t="s">
        <v>1833</v>
      </c>
      <c r="E823" s="586"/>
      <c r="F823" s="587" t="str">
        <f ca="1">"$/"&amp;G757</f>
        <v>$/0</v>
      </c>
      <c r="G823" s="537">
        <f>SUBTOTAL(9,G780:G822)</f>
        <v>0</v>
      </c>
    </row>
    <row r="824" spans="1:7" ht="19.899999999999999" customHeight="1" x14ac:dyDescent="0.2">
      <c r="A824" s="533"/>
      <c r="B824" s="534"/>
      <c r="C824" s="535"/>
      <c r="D824" s="535" t="s">
        <v>2043</v>
      </c>
      <c r="E824" s="536"/>
      <c r="F824" s="589" t="str">
        <f ca="1">"$/"&amp;G757</f>
        <v>$/0</v>
      </c>
      <c r="G824" s="537">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16" t="s">
        <v>31</v>
      </c>
      <c r="B826" s="717"/>
      <c r="C826" s="717"/>
      <c r="D826" s="717"/>
      <c r="E826" s="717"/>
      <c r="F826" s="717"/>
      <c r="G826" s="718"/>
    </row>
    <row r="827" spans="1:7" ht="19.899999999999999" customHeight="1" x14ac:dyDescent="0.2">
      <c r="A827" s="516" t="s">
        <v>711</v>
      </c>
      <c r="B827" s="467" t="str">
        <f>Comitente</f>
        <v>DIRECCIÓN PROVINCIAL DE VIALIDAD</v>
      </c>
      <c r="C827" s="468"/>
      <c r="D827" s="469"/>
      <c r="E827" s="469"/>
      <c r="F827" s="470"/>
      <c r="G827" s="517"/>
    </row>
    <row r="828" spans="1:7" ht="19.899999999999999" customHeight="1" x14ac:dyDescent="0.2">
      <c r="A828" s="516" t="s">
        <v>712</v>
      </c>
      <c r="B828" s="467">
        <f>Contratista</f>
        <v>0</v>
      </c>
      <c r="C828" s="471"/>
      <c r="D828" s="471"/>
      <c r="E828" s="471"/>
      <c r="F828" s="467"/>
      <c r="G828" s="518"/>
    </row>
    <row r="829" spans="1:7" ht="19.899999999999999" customHeight="1" x14ac:dyDescent="0.2">
      <c r="A829" s="516" t="s">
        <v>21</v>
      </c>
      <c r="B829" s="467" t="str">
        <f>Obra</f>
        <v>OBRA BÁSICA Y PAVIMENTACIÓN CALLE GÜEMES</v>
      </c>
      <c r="C829" s="471"/>
      <c r="D829" s="471"/>
      <c r="E829" s="471"/>
      <c r="F829" s="467" t="s">
        <v>32</v>
      </c>
      <c r="G829" s="518">
        <f>Fecha_Base</f>
        <v>0</v>
      </c>
    </row>
    <row r="830" spans="1:7" ht="19.899999999999999" customHeight="1" x14ac:dyDescent="0.2">
      <c r="A830" s="519" t="s">
        <v>710</v>
      </c>
      <c r="B830" s="472" t="str">
        <f>Ubicación</f>
        <v>Rawson - Santa Lucia</v>
      </c>
      <c r="C830" s="472"/>
      <c r="D830" s="473"/>
      <c r="E830" s="474"/>
      <c r="F830" s="475"/>
      <c r="G830" s="520"/>
    </row>
    <row r="831" spans="1:7" ht="19.899999999999999" customHeight="1" x14ac:dyDescent="0.2">
      <c r="A831" s="519" t="s">
        <v>33</v>
      </c>
      <c r="B831" s="476" t="str">
        <f>IFERROR(VALUE(LEFT(B832,FIND(".",B832)-1)),"")</f>
        <v/>
      </c>
      <c r="C831" s="175">
        <f ca="1">IFERROR(VLOOKUP(B831,T_Computo_Presupuesto,2,FALSE),0)</f>
        <v>0</v>
      </c>
      <c r="D831" s="175"/>
      <c r="E831" s="474"/>
      <c r="F831" s="475"/>
      <c r="G831" s="520"/>
    </row>
    <row r="832" spans="1:7" ht="19.899999999999999" customHeight="1" x14ac:dyDescent="0.2">
      <c r="A832" s="519" t="s">
        <v>22</v>
      </c>
      <c r="B832" s="477" t="str">
        <f>IFERROR(VLOOKUP(COUNTIF($A$1:A832,"ANALISIS DE PRECIOS"),T_NumeroItem,2,FALSE),"")</f>
        <v/>
      </c>
      <c r="C832" s="719">
        <f ca="1">IFERROR(VLOOKUP(B832,T_Computo_Presupuesto,2,FALSE),0)</f>
        <v>0</v>
      </c>
      <c r="D832" s="719"/>
      <c r="E832" s="719"/>
      <c r="F832" s="472" t="s">
        <v>23</v>
      </c>
      <c r="G832" s="521">
        <f ca="1">IFERROR(VLOOKUP(B832,T_Computo_Presupuesto,4,FALSE),0)</f>
        <v>0</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999</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1000</v>
      </c>
      <c r="D836" s="482" t="s">
        <v>24</v>
      </c>
      <c r="E836" s="482" t="s">
        <v>1001</v>
      </c>
      <c r="F836" s="482" t="s">
        <v>1002</v>
      </c>
      <c r="G836" s="481" t="s">
        <v>1003</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1004</v>
      </c>
      <c r="D848" s="472" t="s">
        <v>1001</v>
      </c>
      <c r="E848" s="538">
        <f>SUMPRODUCT(D837:D846,E837:E846)</f>
        <v>0</v>
      </c>
      <c r="F848" s="472" t="s">
        <v>1005</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1006</v>
      </c>
      <c r="D850" s="489">
        <f>IFERROR(VLOOKUP(COUNTIF($A$1:A850,"ANALISIS DE PRECIOS"),T_Rendimiento_Equipo,5,FALSE),0)</f>
        <v>0</v>
      </c>
      <c r="E850" s="490" t="str">
        <f ca="1">G832&amp;"/día"</f>
        <v>0/día</v>
      </c>
      <c r="F850" s="466"/>
      <c r="G850" s="521"/>
    </row>
    <row r="851" spans="1:7" ht="19.899999999999999" customHeight="1" x14ac:dyDescent="0.2">
      <c r="A851" s="519"/>
      <c r="B851" s="480"/>
      <c r="C851" s="175"/>
      <c r="D851" s="473"/>
      <c r="E851" s="474"/>
      <c r="F851" s="472"/>
      <c r="G851" s="521"/>
    </row>
    <row r="852" spans="1:7" ht="19.899999999999999" customHeight="1" x14ac:dyDescent="0.2">
      <c r="A852" s="706" t="s">
        <v>576</v>
      </c>
      <c r="B852" s="707"/>
      <c r="C852" s="708" t="s">
        <v>0</v>
      </c>
      <c r="D852" s="720" t="s">
        <v>1866</v>
      </c>
      <c r="E852" s="720" t="s">
        <v>1865</v>
      </c>
      <c r="F852" s="712" t="s">
        <v>1007</v>
      </c>
      <c r="G852" s="714" t="s">
        <v>26</v>
      </c>
    </row>
    <row r="853" spans="1:7" ht="19.899999999999999" customHeight="1" x14ac:dyDescent="0.2">
      <c r="A853" s="491" t="s">
        <v>577</v>
      </c>
      <c r="B853" s="491" t="s">
        <v>578</v>
      </c>
      <c r="C853" s="709"/>
      <c r="D853" s="721"/>
      <c r="E853" s="711"/>
      <c r="F853" s="713"/>
      <c r="G853" s="715"/>
    </row>
    <row r="854" spans="1:7" ht="19.899999999999999" customHeight="1" x14ac:dyDescent="0.2">
      <c r="A854" s="527"/>
      <c r="B854" s="175"/>
      <c r="C854" s="469" t="s">
        <v>1008</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27</v>
      </c>
      <c r="G864" s="531">
        <f>SUBTOTAL(9,G855:G863)</f>
        <v>0</v>
      </c>
    </row>
    <row r="865" spans="1:7" ht="19.899999999999999" customHeight="1" x14ac:dyDescent="0.2">
      <c r="A865" s="527"/>
      <c r="B865" s="175"/>
      <c r="C865" s="469" t="s">
        <v>713</v>
      </c>
      <c r="D865" s="473"/>
      <c r="E865" s="474"/>
      <c r="F865" s="475"/>
      <c r="G865" s="528"/>
    </row>
    <row r="866" spans="1:7" ht="19.899999999999999" customHeight="1" x14ac:dyDescent="0.2">
      <c r="A866" s="706" t="s">
        <v>576</v>
      </c>
      <c r="B866" s="707"/>
      <c r="C866" s="708" t="s">
        <v>0</v>
      </c>
      <c r="D866" s="710" t="s">
        <v>24</v>
      </c>
      <c r="E866" s="710" t="s">
        <v>1832</v>
      </c>
      <c r="F866" s="712" t="s">
        <v>1007</v>
      </c>
      <c r="G866" s="714" t="s">
        <v>26</v>
      </c>
    </row>
    <row r="867" spans="1:7" ht="19.899999999999999" customHeight="1" x14ac:dyDescent="0.2">
      <c r="A867" s="491" t="s">
        <v>577</v>
      </c>
      <c r="B867" s="491" t="s">
        <v>578</v>
      </c>
      <c r="C867" s="709"/>
      <c r="D867" s="711"/>
      <c r="E867" s="711"/>
      <c r="F867" s="713"/>
      <c r="G867" s="715"/>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28</v>
      </c>
      <c r="G875" s="532">
        <f>SUBTOTAL(9,G868:G874)</f>
        <v>0</v>
      </c>
    </row>
    <row r="876" spans="1:7" ht="19.899999999999999" customHeight="1" x14ac:dyDescent="0.2">
      <c r="A876" s="527"/>
      <c r="B876" s="175"/>
      <c r="C876" s="469" t="s">
        <v>1014</v>
      </c>
      <c r="D876" s="473"/>
      <c r="E876" s="474"/>
      <c r="F876" s="475"/>
      <c r="G876" s="528"/>
    </row>
    <row r="877" spans="1:7" ht="19.899999999999999" customHeight="1" x14ac:dyDescent="0.2">
      <c r="A877" s="706" t="s">
        <v>576</v>
      </c>
      <c r="B877" s="707"/>
      <c r="C877" s="708" t="s">
        <v>0</v>
      </c>
      <c r="D877" s="708" t="s">
        <v>1867</v>
      </c>
      <c r="E877" s="710" t="s">
        <v>24</v>
      </c>
      <c r="F877" s="712" t="s">
        <v>25</v>
      </c>
      <c r="G877" s="714" t="s">
        <v>26</v>
      </c>
    </row>
    <row r="878" spans="1:7" ht="19.899999999999999" customHeight="1" x14ac:dyDescent="0.2">
      <c r="A878" s="491" t="s">
        <v>577</v>
      </c>
      <c r="B878" s="491" t="s">
        <v>578</v>
      </c>
      <c r="C878" s="709"/>
      <c r="D878" s="709"/>
      <c r="E878" s="711"/>
      <c r="F878" s="713"/>
      <c r="G878" s="715"/>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29</v>
      </c>
      <c r="G890" s="532">
        <f>SUBTOTAL(9,G879:G889)</f>
        <v>0</v>
      </c>
    </row>
    <row r="891" spans="1:7" ht="19.899999999999999" customHeight="1" x14ac:dyDescent="0.2">
      <c r="A891" s="527"/>
      <c r="B891" s="175"/>
      <c r="C891" s="469" t="s">
        <v>1015</v>
      </c>
      <c r="D891" s="473"/>
      <c r="E891" s="474"/>
      <c r="F891" s="475"/>
      <c r="G891" s="528"/>
    </row>
    <row r="892" spans="1:7" ht="19.899999999999999" customHeight="1" x14ac:dyDescent="0.2">
      <c r="A892" s="706" t="s">
        <v>576</v>
      </c>
      <c r="B892" s="707"/>
      <c r="C892" s="708" t="s">
        <v>0</v>
      </c>
      <c r="D892" s="708" t="s">
        <v>1867</v>
      </c>
      <c r="E892" s="710" t="s">
        <v>24</v>
      </c>
      <c r="F892" s="712" t="s">
        <v>25</v>
      </c>
      <c r="G892" s="714" t="s">
        <v>26</v>
      </c>
    </row>
    <row r="893" spans="1:7" ht="19.899999999999999" customHeight="1" x14ac:dyDescent="0.2">
      <c r="A893" s="491" t="s">
        <v>577</v>
      </c>
      <c r="B893" s="491" t="s">
        <v>578</v>
      </c>
      <c r="C893" s="709"/>
      <c r="D893" s="709"/>
      <c r="E893" s="711"/>
      <c r="F893" s="713"/>
      <c r="G893" s="715"/>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1016</v>
      </c>
      <c r="G896" s="532">
        <f>SUBTOTAL(9,G894:G895)</f>
        <v>0</v>
      </c>
    </row>
    <row r="897" spans="1:8" ht="19.899999999999999" customHeight="1" x14ac:dyDescent="0.2">
      <c r="A897" s="530"/>
      <c r="B897" s="473"/>
      <c r="C897" s="175"/>
      <c r="D897" s="473"/>
      <c r="E897" s="474"/>
      <c r="F897" s="475"/>
      <c r="G897" s="528"/>
    </row>
    <row r="898" spans="1:8" ht="19.899999999999999" customHeight="1" x14ac:dyDescent="0.2">
      <c r="A898" s="588" t="str">
        <f>B832</f>
        <v/>
      </c>
      <c r="B898" s="585">
        <f ca="1">C832</f>
        <v>0</v>
      </c>
      <c r="C898" s="473"/>
      <c r="D898" s="473" t="s">
        <v>1833</v>
      </c>
      <c r="E898" s="586"/>
      <c r="F898" s="587" t="str">
        <f ca="1">"$/"&amp;G832</f>
        <v>$/0</v>
      </c>
      <c r="G898" s="537">
        <f>SUBTOTAL(9,G855:G897)</f>
        <v>0</v>
      </c>
    </row>
    <row r="899" spans="1:8" ht="19.899999999999999" customHeight="1" x14ac:dyDescent="0.2">
      <c r="A899" s="533"/>
      <c r="B899" s="534"/>
      <c r="C899" s="535"/>
      <c r="D899" s="535" t="s">
        <v>2043</v>
      </c>
      <c r="E899" s="536"/>
      <c r="F899" s="589" t="str">
        <f ca="1">"$/"&amp;G832</f>
        <v>$/0</v>
      </c>
      <c r="G899" s="537">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16" t="s">
        <v>31</v>
      </c>
      <c r="B901" s="717"/>
      <c r="C901" s="717"/>
      <c r="D901" s="717"/>
      <c r="E901" s="717"/>
      <c r="F901" s="717"/>
      <c r="G901" s="718"/>
      <c r="H901" s="65"/>
    </row>
    <row r="902" spans="1:8" ht="19.899999999999999" customHeight="1" x14ac:dyDescent="0.2">
      <c r="A902" s="516" t="s">
        <v>711</v>
      </c>
      <c r="B902" s="467" t="str">
        <f>Comitente</f>
        <v>DIRECCIÓN PROVINCIAL DE VIALIDAD</v>
      </c>
      <c r="C902" s="468"/>
      <c r="D902" s="469"/>
      <c r="E902" s="469"/>
      <c r="F902" s="470"/>
      <c r="G902" s="517"/>
      <c r="H902" s="65"/>
    </row>
    <row r="903" spans="1:8" ht="19.899999999999999" customHeight="1" x14ac:dyDescent="0.2">
      <c r="A903" s="516" t="s">
        <v>712</v>
      </c>
      <c r="B903" s="467">
        <f>Contratista</f>
        <v>0</v>
      </c>
      <c r="C903" s="471"/>
      <c r="D903" s="471"/>
      <c r="E903" s="471"/>
      <c r="F903" s="467"/>
      <c r="G903" s="518"/>
      <c r="H903" s="65"/>
    </row>
    <row r="904" spans="1:8" ht="19.899999999999999" customHeight="1" x14ac:dyDescent="0.2">
      <c r="A904" s="516" t="s">
        <v>21</v>
      </c>
      <c r="B904" s="467" t="str">
        <f>Obra</f>
        <v>OBRA BÁSICA Y PAVIMENTACIÓN CALLE GÜEMES</v>
      </c>
      <c r="C904" s="471"/>
      <c r="D904" s="471"/>
      <c r="E904" s="471"/>
      <c r="F904" s="467" t="s">
        <v>32</v>
      </c>
      <c r="G904" s="518">
        <f>Fecha_Base</f>
        <v>0</v>
      </c>
      <c r="H904" s="65"/>
    </row>
    <row r="905" spans="1:8" ht="19.899999999999999" customHeight="1" x14ac:dyDescent="0.2">
      <c r="A905" s="519" t="s">
        <v>710</v>
      </c>
      <c r="B905" s="472" t="str">
        <f>Ubicación</f>
        <v>Rawson - Santa Lucia</v>
      </c>
      <c r="C905" s="472"/>
      <c r="D905" s="473"/>
      <c r="E905" s="474"/>
      <c r="F905" s="475"/>
      <c r="G905" s="520"/>
      <c r="H905" s="65"/>
    </row>
    <row r="906" spans="1:8" ht="19.899999999999999" customHeight="1" x14ac:dyDescent="0.2">
      <c r="A906" s="519" t="s">
        <v>33</v>
      </c>
      <c r="B906" s="476" t="str">
        <f>IFERROR(VALUE(LEFT(B907,FIND(".",B907)-1)),"")</f>
        <v/>
      </c>
      <c r="C906" s="175">
        <f ca="1">IFERROR(VLOOKUP(B906,T_Computo_Presupuesto,2,FALSE),0)</f>
        <v>0</v>
      </c>
      <c r="D906" s="175"/>
      <c r="E906" s="474"/>
      <c r="F906" s="475"/>
      <c r="G906" s="520"/>
      <c r="H906" s="65"/>
    </row>
    <row r="907" spans="1:8" ht="19.899999999999999" customHeight="1" x14ac:dyDescent="0.2">
      <c r="A907" s="519" t="s">
        <v>22</v>
      </c>
      <c r="B907" s="477" t="str">
        <f>IFERROR(VLOOKUP(COUNTIF($A$1:A907,"ANALISIS DE PRECIOS"),T_NumeroItem,2,FALSE),"")</f>
        <v/>
      </c>
      <c r="C907" s="719">
        <f ca="1">IFERROR(VLOOKUP(B907,T_Computo_Presupuesto,2,FALSE),0)</f>
        <v>0</v>
      </c>
      <c r="D907" s="719"/>
      <c r="E907" s="719"/>
      <c r="F907" s="472" t="s">
        <v>23</v>
      </c>
      <c r="G907" s="521">
        <f ca="1">IFERROR(VLOOKUP(B907,T_Computo_Presupuesto,4,FALSE),0)</f>
        <v>0</v>
      </c>
      <c r="H907" s="65"/>
    </row>
    <row r="908" spans="1:8" ht="19.899999999999999" customHeight="1" x14ac:dyDescent="0.2">
      <c r="A908" s="519"/>
      <c r="B908" s="472"/>
      <c r="C908" s="175"/>
      <c r="D908" s="473"/>
      <c r="E908" s="474"/>
      <c r="F908" s="175"/>
      <c r="G908" s="522"/>
      <c r="H908" s="65"/>
    </row>
    <row r="909" spans="1:8" ht="19.899999999999999" customHeight="1" x14ac:dyDescent="0.2">
      <c r="A909" s="523"/>
      <c r="B909" s="478"/>
      <c r="C909" s="479" t="s">
        <v>999</v>
      </c>
      <c r="D909" s="478"/>
      <c r="E909" s="478"/>
      <c r="F909" s="478"/>
      <c r="G909" s="524"/>
      <c r="H909" s="65"/>
    </row>
    <row r="910" spans="1:8" ht="19.899999999999999" customHeight="1" x14ac:dyDescent="0.2">
      <c r="A910" s="519"/>
      <c r="B910" s="480"/>
      <c r="C910" s="175"/>
      <c r="D910" s="473"/>
      <c r="E910" s="474"/>
      <c r="F910" s="472"/>
      <c r="G910" s="521"/>
      <c r="H910" s="65"/>
    </row>
    <row r="911" spans="1:8" ht="19.899999999999999" customHeight="1" x14ac:dyDescent="0.2">
      <c r="A911" s="519"/>
      <c r="B911" s="480"/>
      <c r="C911" s="481" t="s">
        <v>1000</v>
      </c>
      <c r="D911" s="482" t="s">
        <v>24</v>
      </c>
      <c r="E911" s="482" t="s">
        <v>1001</v>
      </c>
      <c r="F911" s="482" t="s">
        <v>1002</v>
      </c>
      <c r="G911" s="481" t="s">
        <v>1003</v>
      </c>
    </row>
    <row r="912" spans="1:8"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1004</v>
      </c>
      <c r="D923" s="472" t="s">
        <v>1001</v>
      </c>
      <c r="E923" s="538">
        <f>SUMPRODUCT(D912:D921,E912:E921)</f>
        <v>0</v>
      </c>
      <c r="F923" s="472" t="s">
        <v>1005</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1006</v>
      </c>
      <c r="D925" s="489">
        <f>IFERROR(VLOOKUP(COUNTIF($A$1:A925,"ANALISIS DE PRECIOS"),T_Rendimiento_Equipo,5,FALSE),0)</f>
        <v>0</v>
      </c>
      <c r="E925" s="490" t="str">
        <f ca="1">G907&amp;"/día"</f>
        <v>0/día</v>
      </c>
      <c r="F925" s="466"/>
      <c r="G925" s="521"/>
    </row>
    <row r="926" spans="1:7" ht="19.899999999999999" customHeight="1" x14ac:dyDescent="0.2">
      <c r="A926" s="519"/>
      <c r="B926" s="480"/>
      <c r="C926" s="175"/>
      <c r="D926" s="473"/>
      <c r="E926" s="474"/>
      <c r="F926" s="472"/>
      <c r="G926" s="521"/>
    </row>
    <row r="927" spans="1:7" ht="19.899999999999999" customHeight="1" x14ac:dyDescent="0.2">
      <c r="A927" s="706" t="s">
        <v>576</v>
      </c>
      <c r="B927" s="707"/>
      <c r="C927" s="708" t="s">
        <v>0</v>
      </c>
      <c r="D927" s="720" t="s">
        <v>1866</v>
      </c>
      <c r="E927" s="720" t="s">
        <v>1865</v>
      </c>
      <c r="F927" s="712" t="s">
        <v>1007</v>
      </c>
      <c r="G927" s="714" t="s">
        <v>26</v>
      </c>
    </row>
    <row r="928" spans="1:7" ht="19.899999999999999" customHeight="1" x14ac:dyDescent="0.2">
      <c r="A928" s="491" t="s">
        <v>577</v>
      </c>
      <c r="B928" s="491" t="s">
        <v>578</v>
      </c>
      <c r="C928" s="709"/>
      <c r="D928" s="721"/>
      <c r="E928" s="711"/>
      <c r="F928" s="713"/>
      <c r="G928" s="715"/>
    </row>
    <row r="929" spans="1:7" ht="19.899999999999999" customHeight="1" x14ac:dyDescent="0.2">
      <c r="A929" s="527"/>
      <c r="B929" s="175"/>
      <c r="C929" s="469" t="s">
        <v>1008</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27</v>
      </c>
      <c r="G939" s="531">
        <f>SUBTOTAL(9,G930:G938)</f>
        <v>0</v>
      </c>
    </row>
    <row r="940" spans="1:7" ht="19.899999999999999" customHeight="1" x14ac:dyDescent="0.2">
      <c r="A940" s="527"/>
      <c r="B940" s="175"/>
      <c r="C940" s="469" t="s">
        <v>713</v>
      </c>
      <c r="D940" s="473"/>
      <c r="E940" s="474"/>
      <c r="F940" s="475"/>
      <c r="G940" s="528"/>
    </row>
    <row r="941" spans="1:7" ht="19.899999999999999" customHeight="1" x14ac:dyDescent="0.2">
      <c r="A941" s="706" t="s">
        <v>576</v>
      </c>
      <c r="B941" s="707"/>
      <c r="C941" s="708" t="s">
        <v>0</v>
      </c>
      <c r="D941" s="710" t="s">
        <v>24</v>
      </c>
      <c r="E941" s="710" t="s">
        <v>1832</v>
      </c>
      <c r="F941" s="712" t="s">
        <v>1007</v>
      </c>
      <c r="G941" s="714" t="s">
        <v>26</v>
      </c>
    </row>
    <row r="942" spans="1:7" ht="19.899999999999999" customHeight="1" x14ac:dyDescent="0.2">
      <c r="A942" s="491" t="s">
        <v>577</v>
      </c>
      <c r="B942" s="491" t="s">
        <v>578</v>
      </c>
      <c r="C942" s="709"/>
      <c r="D942" s="711"/>
      <c r="E942" s="711"/>
      <c r="F942" s="713"/>
      <c r="G942" s="715"/>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28</v>
      </c>
      <c r="G950" s="532">
        <f>SUBTOTAL(9,G943:G949)</f>
        <v>0</v>
      </c>
    </row>
    <row r="951" spans="1:7" ht="19.899999999999999" customHeight="1" x14ac:dyDescent="0.2">
      <c r="A951" s="527"/>
      <c r="B951" s="175"/>
      <c r="C951" s="469" t="s">
        <v>1014</v>
      </c>
      <c r="D951" s="473"/>
      <c r="E951" s="474"/>
      <c r="F951" s="475"/>
      <c r="G951" s="528"/>
    </row>
    <row r="952" spans="1:7" ht="19.899999999999999" customHeight="1" x14ac:dyDescent="0.2">
      <c r="A952" s="706" t="s">
        <v>576</v>
      </c>
      <c r="B952" s="707"/>
      <c r="C952" s="708" t="s">
        <v>0</v>
      </c>
      <c r="D952" s="708" t="s">
        <v>1867</v>
      </c>
      <c r="E952" s="710" t="s">
        <v>24</v>
      </c>
      <c r="F952" s="712" t="s">
        <v>25</v>
      </c>
      <c r="G952" s="714" t="s">
        <v>26</v>
      </c>
    </row>
    <row r="953" spans="1:7" ht="19.899999999999999" customHeight="1" x14ac:dyDescent="0.2">
      <c r="A953" s="491" t="s">
        <v>577</v>
      </c>
      <c r="B953" s="491" t="s">
        <v>578</v>
      </c>
      <c r="C953" s="709"/>
      <c r="D953" s="709"/>
      <c r="E953" s="711"/>
      <c r="F953" s="713"/>
      <c r="G953" s="715"/>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8" ht="19.899999999999999" customHeight="1" x14ac:dyDescent="0.2">
      <c r="A961" s="529">
        <f t="shared" si="215"/>
        <v>0</v>
      </c>
      <c r="B961" s="492">
        <f t="shared" si="216"/>
        <v>0</v>
      </c>
      <c r="C961" s="492"/>
      <c r="D961" s="540">
        <f t="shared" si="217"/>
        <v>0</v>
      </c>
      <c r="E961" s="484"/>
      <c r="F961" s="486">
        <f t="shared" si="218"/>
        <v>0</v>
      </c>
      <c r="G961" s="486">
        <f t="shared" si="219"/>
        <v>0</v>
      </c>
    </row>
    <row r="962" spans="1:8" ht="19.899999999999999" customHeight="1" x14ac:dyDescent="0.2">
      <c r="A962" s="529">
        <f t="shared" si="215"/>
        <v>0</v>
      </c>
      <c r="B962" s="492">
        <f t="shared" si="216"/>
        <v>0</v>
      </c>
      <c r="C962" s="492"/>
      <c r="D962" s="540">
        <f t="shared" si="217"/>
        <v>0</v>
      </c>
      <c r="E962" s="484"/>
      <c r="F962" s="486">
        <f t="shared" si="218"/>
        <v>0</v>
      </c>
      <c r="G962" s="486">
        <f t="shared" si="219"/>
        <v>0</v>
      </c>
    </row>
    <row r="963" spans="1:8" ht="19.899999999999999" customHeight="1" x14ac:dyDescent="0.2">
      <c r="A963" s="529">
        <f t="shared" si="215"/>
        <v>0</v>
      </c>
      <c r="B963" s="492">
        <f t="shared" si="216"/>
        <v>0</v>
      </c>
      <c r="C963" s="492"/>
      <c r="D963" s="540">
        <f t="shared" si="217"/>
        <v>0</v>
      </c>
      <c r="E963" s="484"/>
      <c r="F963" s="486">
        <f t="shared" si="218"/>
        <v>0</v>
      </c>
      <c r="G963" s="486">
        <f t="shared" si="219"/>
        <v>0</v>
      </c>
    </row>
    <row r="964" spans="1:8" ht="19.899999999999999" customHeight="1" x14ac:dyDescent="0.2">
      <c r="A964" s="529">
        <f t="shared" si="215"/>
        <v>0</v>
      </c>
      <c r="B964" s="492">
        <f t="shared" si="216"/>
        <v>0</v>
      </c>
      <c r="C964" s="492"/>
      <c r="D964" s="540">
        <f t="shared" si="217"/>
        <v>0</v>
      </c>
      <c r="E964" s="484"/>
      <c r="F964" s="486">
        <f t="shared" si="218"/>
        <v>0</v>
      </c>
      <c r="G964" s="486">
        <f t="shared" si="219"/>
        <v>0</v>
      </c>
    </row>
    <row r="965" spans="1:8" ht="19.899999999999999" customHeight="1" x14ac:dyDescent="0.2">
      <c r="A965" s="527"/>
      <c r="B965" s="175"/>
      <c r="C965" s="175"/>
      <c r="D965" s="473"/>
      <c r="E965" s="474"/>
      <c r="F965" s="495" t="s">
        <v>29</v>
      </c>
      <c r="G965" s="532">
        <f>SUBTOTAL(9,G954:G964)</f>
        <v>0</v>
      </c>
    </row>
    <row r="966" spans="1:8" ht="19.899999999999999" customHeight="1" x14ac:dyDescent="0.2">
      <c r="A966" s="527"/>
      <c r="B966" s="175"/>
      <c r="C966" s="469" t="s">
        <v>1015</v>
      </c>
      <c r="D966" s="473"/>
      <c r="E966" s="474"/>
      <c r="F966" s="475"/>
      <c r="G966" s="528"/>
    </row>
    <row r="967" spans="1:8" ht="19.899999999999999" customHeight="1" x14ac:dyDescent="0.2">
      <c r="A967" s="706" t="s">
        <v>576</v>
      </c>
      <c r="B967" s="707"/>
      <c r="C967" s="708" t="s">
        <v>0</v>
      </c>
      <c r="D967" s="708" t="s">
        <v>1867</v>
      </c>
      <c r="E967" s="710" t="s">
        <v>24</v>
      </c>
      <c r="F967" s="712" t="s">
        <v>25</v>
      </c>
      <c r="G967" s="714" t="s">
        <v>26</v>
      </c>
    </row>
    <row r="968" spans="1:8" ht="19.899999999999999" customHeight="1" x14ac:dyDescent="0.2">
      <c r="A968" s="491" t="s">
        <v>577</v>
      </c>
      <c r="B968" s="491" t="s">
        <v>578</v>
      </c>
      <c r="C968" s="709"/>
      <c r="D968" s="709"/>
      <c r="E968" s="711"/>
      <c r="F968" s="713"/>
      <c r="G968" s="715"/>
    </row>
    <row r="969" spans="1:8"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x14ac:dyDescent="0.2">
      <c r="A971" s="527"/>
      <c r="B971" s="175"/>
      <c r="C971" s="175"/>
      <c r="D971" s="473"/>
      <c r="E971" s="474"/>
      <c r="F971" s="495" t="s">
        <v>1016</v>
      </c>
      <c r="G971" s="532">
        <f>SUBTOTAL(9,G969:G970)</f>
        <v>0</v>
      </c>
      <c r="H971" s="65"/>
    </row>
    <row r="972" spans="1:8" ht="19.899999999999999" customHeight="1" x14ac:dyDescent="0.2">
      <c r="A972" s="530"/>
      <c r="B972" s="473"/>
      <c r="C972" s="175"/>
      <c r="D972" s="473"/>
      <c r="E972" s="474"/>
      <c r="F972" s="475"/>
      <c r="G972" s="528"/>
      <c r="H972" s="65"/>
    </row>
    <row r="973" spans="1:8" ht="19.899999999999999" customHeight="1" x14ac:dyDescent="0.2">
      <c r="A973" s="588" t="str">
        <f>B907</f>
        <v/>
      </c>
      <c r="B973" s="585">
        <f ca="1">C907</f>
        <v>0</v>
      </c>
      <c r="C973" s="473"/>
      <c r="D973" s="473" t="s">
        <v>1833</v>
      </c>
      <c r="E973" s="586"/>
      <c r="F973" s="587" t="str">
        <f ca="1">"$/"&amp;G907</f>
        <v>$/0</v>
      </c>
      <c r="G973" s="537">
        <f>SUBTOTAL(9,G930:G972)</f>
        <v>0</v>
      </c>
      <c r="H973" s="65"/>
    </row>
    <row r="974" spans="1:8" ht="19.899999999999999" customHeight="1" x14ac:dyDescent="0.2">
      <c r="A974" s="533"/>
      <c r="B974" s="534"/>
      <c r="C974" s="535"/>
      <c r="D974" s="535" t="s">
        <v>2043</v>
      </c>
      <c r="E974" s="536"/>
      <c r="F974" s="589" t="str">
        <f ca="1">"$/"&amp;G907</f>
        <v>$/0</v>
      </c>
      <c r="G974" s="537">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16" t="s">
        <v>31</v>
      </c>
      <c r="B976" s="717"/>
      <c r="C976" s="717"/>
      <c r="D976" s="717"/>
      <c r="E976" s="717"/>
      <c r="F976" s="717"/>
      <c r="G976" s="718"/>
    </row>
    <row r="977" spans="1:7" ht="19.899999999999999" customHeight="1" x14ac:dyDescent="0.2">
      <c r="A977" s="516" t="s">
        <v>711</v>
      </c>
      <c r="B977" s="467" t="str">
        <f>Comitente</f>
        <v>DIRECCIÓN PROVINCIAL DE VIALIDAD</v>
      </c>
      <c r="C977" s="468"/>
      <c r="D977" s="469"/>
      <c r="E977" s="469"/>
      <c r="F977" s="470"/>
      <c r="G977" s="517"/>
    </row>
    <row r="978" spans="1:7" ht="19.899999999999999" customHeight="1" x14ac:dyDescent="0.2">
      <c r="A978" s="516" t="s">
        <v>712</v>
      </c>
      <c r="B978" s="467">
        <f>Contratista</f>
        <v>0</v>
      </c>
      <c r="C978" s="471"/>
      <c r="D978" s="471"/>
      <c r="E978" s="471"/>
      <c r="F978" s="467"/>
      <c r="G978" s="518"/>
    </row>
    <row r="979" spans="1:7" ht="19.899999999999999" customHeight="1" x14ac:dyDescent="0.2">
      <c r="A979" s="516" t="s">
        <v>21</v>
      </c>
      <c r="B979" s="467" t="str">
        <f>Obra</f>
        <v>OBRA BÁSICA Y PAVIMENTACIÓN CALLE GÜEMES</v>
      </c>
      <c r="C979" s="471"/>
      <c r="D979" s="471"/>
      <c r="E979" s="471"/>
      <c r="F979" s="467" t="s">
        <v>32</v>
      </c>
      <c r="G979" s="518">
        <f>Fecha_Base</f>
        <v>0</v>
      </c>
    </row>
    <row r="980" spans="1:7" ht="19.899999999999999" customHeight="1" x14ac:dyDescent="0.2">
      <c r="A980" s="519" t="s">
        <v>710</v>
      </c>
      <c r="B980" s="472" t="str">
        <f>Ubicación</f>
        <v>Rawson - Santa Lucia</v>
      </c>
      <c r="C980" s="472"/>
      <c r="D980" s="473"/>
      <c r="E980" s="474"/>
      <c r="F980" s="475"/>
      <c r="G980" s="520"/>
    </row>
    <row r="981" spans="1:7" ht="19.899999999999999" customHeight="1" x14ac:dyDescent="0.2">
      <c r="A981" s="519" t="s">
        <v>33</v>
      </c>
      <c r="B981" s="476" t="str">
        <f>IFERROR(VALUE(LEFT(B982,FIND(".",B982)-1)),"")</f>
        <v/>
      </c>
      <c r="C981" s="175">
        <f ca="1">IFERROR(VLOOKUP(B981,T_Computo_Presupuesto,2,FALSE),0)</f>
        <v>0</v>
      </c>
      <c r="D981" s="175"/>
      <c r="E981" s="474"/>
      <c r="F981" s="475"/>
      <c r="G981" s="520"/>
    </row>
    <row r="982" spans="1:7" ht="19.899999999999999" customHeight="1" x14ac:dyDescent="0.2">
      <c r="A982" s="519" t="s">
        <v>22</v>
      </c>
      <c r="B982" s="477" t="str">
        <f>IFERROR(VLOOKUP(COUNTIF($A$1:A982,"ANALISIS DE PRECIOS"),T_NumeroItem,2,FALSE),"")</f>
        <v/>
      </c>
      <c r="C982" s="719">
        <f ca="1">IFERROR(VLOOKUP(B982,T_Computo_Presupuesto,2,FALSE),0)</f>
        <v>0</v>
      </c>
      <c r="D982" s="719"/>
      <c r="E982" s="719"/>
      <c r="F982" s="472" t="s">
        <v>23</v>
      </c>
      <c r="G982" s="521">
        <f ca="1">IFERROR(VLOOKUP(B982,T_Computo_Presupuesto,4,FALSE),0)</f>
        <v>0</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999</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1000</v>
      </c>
      <c r="D986" s="482" t="s">
        <v>24</v>
      </c>
      <c r="E986" s="482" t="s">
        <v>1001</v>
      </c>
      <c r="F986" s="482" t="s">
        <v>1002</v>
      </c>
      <c r="G986" s="481" t="s">
        <v>1003</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1004</v>
      </c>
      <c r="D998" s="472" t="s">
        <v>1001</v>
      </c>
      <c r="E998" s="538">
        <f>SUMPRODUCT(D987:D996,E987:E996)</f>
        <v>0</v>
      </c>
      <c r="F998" s="472" t="s">
        <v>1005</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1006</v>
      </c>
      <c r="D1000" s="489">
        <f>IFERROR(VLOOKUP(COUNTIF($A$1:A1000,"ANALISIS DE PRECIOS"),T_Rendimiento_Equipo,5,FALSE),0)</f>
        <v>0</v>
      </c>
      <c r="E1000" s="490" t="str">
        <f ca="1">G982&amp;"/día"</f>
        <v>0/día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06" t="s">
        <v>576</v>
      </c>
      <c r="B1002" s="707"/>
      <c r="C1002" s="708" t="s">
        <v>0</v>
      </c>
      <c r="D1002" s="720" t="s">
        <v>1866</v>
      </c>
      <c r="E1002" s="720" t="s">
        <v>1865</v>
      </c>
      <c r="F1002" s="712" t="s">
        <v>1007</v>
      </c>
      <c r="G1002" s="714" t="s">
        <v>26</v>
      </c>
    </row>
    <row r="1003" spans="1:7" ht="19.899999999999999" customHeight="1" x14ac:dyDescent="0.2">
      <c r="A1003" s="491" t="s">
        <v>577</v>
      </c>
      <c r="B1003" s="491" t="s">
        <v>578</v>
      </c>
      <c r="C1003" s="709"/>
      <c r="D1003" s="721"/>
      <c r="E1003" s="711"/>
      <c r="F1003" s="713"/>
      <c r="G1003" s="715"/>
    </row>
    <row r="1004" spans="1:7" ht="19.899999999999999" customHeight="1" x14ac:dyDescent="0.2">
      <c r="A1004" s="527"/>
      <c r="B1004" s="175"/>
      <c r="C1004" s="469" t="s">
        <v>1008</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27</v>
      </c>
      <c r="G1014" s="531">
        <f>SUBTOTAL(9,G1005:G1013)</f>
        <v>0</v>
      </c>
    </row>
    <row r="1015" spans="1:7" ht="19.899999999999999" customHeight="1" x14ac:dyDescent="0.2">
      <c r="A1015" s="527"/>
      <c r="B1015" s="175"/>
      <c r="C1015" s="469" t="s">
        <v>713</v>
      </c>
      <c r="D1015" s="473"/>
      <c r="E1015" s="474"/>
      <c r="F1015" s="475"/>
      <c r="G1015" s="528"/>
    </row>
    <row r="1016" spans="1:7" ht="19.899999999999999" customHeight="1" x14ac:dyDescent="0.2">
      <c r="A1016" s="706" t="s">
        <v>576</v>
      </c>
      <c r="B1016" s="707"/>
      <c r="C1016" s="708" t="s">
        <v>0</v>
      </c>
      <c r="D1016" s="710" t="s">
        <v>24</v>
      </c>
      <c r="E1016" s="710" t="s">
        <v>1832</v>
      </c>
      <c r="F1016" s="712" t="s">
        <v>1007</v>
      </c>
      <c r="G1016" s="714" t="s">
        <v>26</v>
      </c>
    </row>
    <row r="1017" spans="1:7" ht="19.899999999999999" customHeight="1" x14ac:dyDescent="0.2">
      <c r="A1017" s="491" t="s">
        <v>577</v>
      </c>
      <c r="B1017" s="491" t="s">
        <v>578</v>
      </c>
      <c r="C1017" s="709"/>
      <c r="D1017" s="711"/>
      <c r="E1017" s="711"/>
      <c r="F1017" s="713"/>
      <c r="G1017" s="715"/>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28</v>
      </c>
      <c r="G1025" s="532">
        <f>SUBTOTAL(9,G1018:G1024)</f>
        <v>0</v>
      </c>
    </row>
    <row r="1026" spans="1:7" ht="19.899999999999999" customHeight="1" x14ac:dyDescent="0.2">
      <c r="A1026" s="527"/>
      <c r="B1026" s="175"/>
      <c r="C1026" s="469" t="s">
        <v>1014</v>
      </c>
      <c r="D1026" s="473"/>
      <c r="E1026" s="474"/>
      <c r="F1026" s="475"/>
      <c r="G1026" s="528"/>
    </row>
    <row r="1027" spans="1:7" ht="19.899999999999999" customHeight="1" x14ac:dyDescent="0.2">
      <c r="A1027" s="706" t="s">
        <v>576</v>
      </c>
      <c r="B1027" s="707"/>
      <c r="C1027" s="708" t="s">
        <v>0</v>
      </c>
      <c r="D1027" s="708" t="s">
        <v>1867</v>
      </c>
      <c r="E1027" s="710" t="s">
        <v>24</v>
      </c>
      <c r="F1027" s="712" t="s">
        <v>25</v>
      </c>
      <c r="G1027" s="714" t="s">
        <v>26</v>
      </c>
    </row>
    <row r="1028" spans="1:7" ht="19.899999999999999" customHeight="1" x14ac:dyDescent="0.2">
      <c r="A1028" s="491" t="s">
        <v>577</v>
      </c>
      <c r="B1028" s="491" t="s">
        <v>578</v>
      </c>
      <c r="C1028" s="709"/>
      <c r="D1028" s="709"/>
      <c r="E1028" s="711"/>
      <c r="F1028" s="713"/>
      <c r="G1028" s="715"/>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29</v>
      </c>
      <c r="G1040" s="532">
        <f>SUBTOTAL(9,G1029:G1039)</f>
        <v>0</v>
      </c>
    </row>
    <row r="1041" spans="1:7" ht="19.899999999999999" customHeight="1" x14ac:dyDescent="0.2">
      <c r="A1041" s="527"/>
      <c r="B1041" s="175"/>
      <c r="C1041" s="469" t="s">
        <v>1015</v>
      </c>
      <c r="D1041" s="473"/>
      <c r="E1041" s="474"/>
      <c r="F1041" s="475"/>
      <c r="G1041" s="528"/>
    </row>
    <row r="1042" spans="1:7" ht="19.899999999999999" customHeight="1" x14ac:dyDescent="0.2">
      <c r="A1042" s="706" t="s">
        <v>576</v>
      </c>
      <c r="B1042" s="707"/>
      <c r="C1042" s="708" t="s">
        <v>0</v>
      </c>
      <c r="D1042" s="708" t="s">
        <v>1867</v>
      </c>
      <c r="E1042" s="710" t="s">
        <v>24</v>
      </c>
      <c r="F1042" s="712" t="s">
        <v>25</v>
      </c>
      <c r="G1042" s="714" t="s">
        <v>26</v>
      </c>
    </row>
    <row r="1043" spans="1:7" ht="19.899999999999999" customHeight="1" x14ac:dyDescent="0.2">
      <c r="A1043" s="491" t="s">
        <v>577</v>
      </c>
      <c r="B1043" s="491" t="s">
        <v>578</v>
      </c>
      <c r="C1043" s="709"/>
      <c r="D1043" s="709"/>
      <c r="E1043" s="711"/>
      <c r="F1043" s="713"/>
      <c r="G1043" s="715"/>
    </row>
    <row r="1044" spans="1:7"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x14ac:dyDescent="0.2">
      <c r="A1046" s="527"/>
      <c r="B1046" s="175"/>
      <c r="C1046" s="175"/>
      <c r="D1046" s="473"/>
      <c r="E1046" s="474"/>
      <c r="F1046" s="495" t="s">
        <v>1016</v>
      </c>
      <c r="G1046" s="532">
        <f>SUBTOTAL(9,G1044:G1045)</f>
        <v>0</v>
      </c>
    </row>
    <row r="1047" spans="1:7" ht="19.899999999999999" customHeight="1" x14ac:dyDescent="0.2">
      <c r="A1047" s="530"/>
      <c r="B1047" s="473"/>
      <c r="C1047" s="175"/>
      <c r="D1047" s="473"/>
      <c r="E1047" s="474"/>
      <c r="F1047" s="475"/>
      <c r="G1047" s="528"/>
    </row>
    <row r="1048" spans="1:7" ht="19.899999999999999" customHeight="1" x14ac:dyDescent="0.2">
      <c r="A1048" s="588" t="str">
        <f>B982</f>
        <v/>
      </c>
      <c r="B1048" s="585">
        <f ca="1">C982</f>
        <v>0</v>
      </c>
      <c r="C1048" s="473"/>
      <c r="D1048" s="473" t="s">
        <v>1833</v>
      </c>
      <c r="E1048" s="586"/>
      <c r="F1048" s="587" t="str">
        <f ca="1">"$/"&amp;G982</f>
        <v>$/0</v>
      </c>
      <c r="G1048" s="537">
        <f>SUBTOTAL(9,G1005:G1047)</f>
        <v>0</v>
      </c>
    </row>
    <row r="1049" spans="1:7" ht="19.899999999999999" customHeight="1" x14ac:dyDescent="0.2">
      <c r="A1049" s="533"/>
      <c r="B1049" s="534"/>
      <c r="C1049" s="535"/>
      <c r="D1049" s="535" t="s">
        <v>2043</v>
      </c>
      <c r="E1049" s="536"/>
      <c r="F1049" s="589" t="str">
        <f ca="1">"$/"&amp;G982</f>
        <v>$/0</v>
      </c>
      <c r="G1049" s="537">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16" t="s">
        <v>31</v>
      </c>
      <c r="B1051" s="717"/>
      <c r="C1051" s="717"/>
      <c r="D1051" s="717"/>
      <c r="E1051" s="717"/>
      <c r="F1051" s="717"/>
      <c r="G1051" s="718"/>
    </row>
    <row r="1052" spans="1:7" ht="19.899999999999999" customHeight="1" x14ac:dyDescent="0.2">
      <c r="A1052" s="516" t="s">
        <v>711</v>
      </c>
      <c r="B1052" s="467" t="str">
        <f>Comitente</f>
        <v>DIRECCIÓN PROVINCIAL DE VIALIDAD</v>
      </c>
      <c r="C1052" s="468"/>
      <c r="D1052" s="469"/>
      <c r="E1052" s="469"/>
      <c r="F1052" s="470"/>
      <c r="G1052" s="517"/>
    </row>
    <row r="1053" spans="1:7" ht="19.899999999999999" customHeight="1" x14ac:dyDescent="0.2">
      <c r="A1053" s="516" t="s">
        <v>712</v>
      </c>
      <c r="B1053" s="467">
        <f>Contratista</f>
        <v>0</v>
      </c>
      <c r="C1053" s="471"/>
      <c r="D1053" s="471"/>
      <c r="E1053" s="471"/>
      <c r="F1053" s="467"/>
      <c r="G1053" s="518"/>
    </row>
    <row r="1054" spans="1:7" ht="19.899999999999999" customHeight="1" x14ac:dyDescent="0.2">
      <c r="A1054" s="516" t="s">
        <v>21</v>
      </c>
      <c r="B1054" s="467" t="str">
        <f>Obra</f>
        <v>OBRA BÁSICA Y PAVIMENTACIÓN CALLE GÜEMES</v>
      </c>
      <c r="C1054" s="471"/>
      <c r="D1054" s="471"/>
      <c r="E1054" s="471"/>
      <c r="F1054" s="467" t="s">
        <v>32</v>
      </c>
      <c r="G1054" s="518">
        <f>Fecha_Base</f>
        <v>0</v>
      </c>
    </row>
    <row r="1055" spans="1:7" ht="19.899999999999999" customHeight="1" x14ac:dyDescent="0.2">
      <c r="A1055" s="519" t="s">
        <v>710</v>
      </c>
      <c r="B1055" s="472" t="str">
        <f>Ubicación</f>
        <v>Rawson - Santa Lucia</v>
      </c>
      <c r="C1055" s="472"/>
      <c r="D1055" s="473"/>
      <c r="E1055" s="474"/>
      <c r="F1055" s="475"/>
      <c r="G1055" s="520"/>
    </row>
    <row r="1056" spans="1:7" ht="19.899999999999999" customHeight="1" x14ac:dyDescent="0.2">
      <c r="A1056" s="519" t="s">
        <v>33</v>
      </c>
      <c r="B1056" s="476" t="str">
        <f>IFERROR(VALUE(LEFT(B1057,FIND(".",B1057)-1)),"")</f>
        <v/>
      </c>
      <c r="C1056" s="175">
        <f ca="1">IFERROR(VLOOKUP(B1056,T_Computo_Presupuesto,2,FALSE),0)</f>
        <v>0</v>
      </c>
      <c r="D1056" s="175"/>
      <c r="E1056" s="474"/>
      <c r="F1056" s="475"/>
      <c r="G1056" s="520"/>
    </row>
    <row r="1057" spans="1:7" ht="19.899999999999999" customHeight="1" x14ac:dyDescent="0.2">
      <c r="A1057" s="519" t="s">
        <v>22</v>
      </c>
      <c r="B1057" s="477" t="str">
        <f>IFERROR(VLOOKUP(COUNTIF($A$1:A1057,"ANALISIS DE PRECIOS"),T_NumeroItem,2,FALSE),"")</f>
        <v/>
      </c>
      <c r="C1057" s="719">
        <f ca="1">IFERROR(VLOOKUP(B1057,T_Computo_Presupuesto,2,FALSE),0)</f>
        <v>0</v>
      </c>
      <c r="D1057" s="719"/>
      <c r="E1057" s="719"/>
      <c r="F1057" s="472" t="s">
        <v>23</v>
      </c>
      <c r="G1057" s="521">
        <f ca="1">IFERROR(VLOOKUP(B1057,T_Computo_Presupuesto,4,FALSE),0)</f>
        <v>0</v>
      </c>
    </row>
    <row r="1058" spans="1:7" ht="19.899999999999999" customHeight="1" x14ac:dyDescent="0.2">
      <c r="A1058" s="519"/>
      <c r="B1058" s="472"/>
      <c r="C1058" s="175"/>
      <c r="D1058" s="473"/>
      <c r="E1058" s="474"/>
      <c r="F1058" s="175"/>
      <c r="G1058" s="522"/>
    </row>
    <row r="1059" spans="1:7" ht="19.899999999999999" customHeight="1" x14ac:dyDescent="0.2">
      <c r="A1059" s="523"/>
      <c r="B1059" s="478"/>
      <c r="C1059" s="479" t="s">
        <v>999</v>
      </c>
      <c r="D1059" s="478"/>
      <c r="E1059" s="478"/>
      <c r="F1059" s="478"/>
      <c r="G1059" s="524"/>
    </row>
    <row r="1060" spans="1:7" ht="19.899999999999999" customHeight="1" x14ac:dyDescent="0.2">
      <c r="A1060" s="519"/>
      <c r="B1060" s="480"/>
      <c r="C1060" s="175"/>
      <c r="D1060" s="473"/>
      <c r="E1060" s="474"/>
      <c r="F1060" s="472"/>
      <c r="G1060" s="521"/>
    </row>
    <row r="1061" spans="1:7" ht="19.899999999999999" customHeight="1" x14ac:dyDescent="0.2">
      <c r="A1061" s="519"/>
      <c r="B1061" s="480"/>
      <c r="C1061" s="481" t="s">
        <v>1000</v>
      </c>
      <c r="D1061" s="482" t="s">
        <v>24</v>
      </c>
      <c r="E1061" s="482" t="s">
        <v>1001</v>
      </c>
      <c r="F1061" s="482" t="s">
        <v>1002</v>
      </c>
      <c r="G1061" s="481" t="s">
        <v>1003</v>
      </c>
    </row>
    <row r="1062" spans="1:7"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x14ac:dyDescent="0.2">
      <c r="A1063" s="519"/>
      <c r="B1063" s="480"/>
      <c r="C1063" s="483"/>
      <c r="D1063" s="484"/>
      <c r="E1063" s="485">
        <f t="shared" si="238"/>
        <v>0</v>
      </c>
      <c r="F1063" s="486">
        <f t="shared" si="239"/>
        <v>0</v>
      </c>
      <c r="G1063" s="486">
        <f>ROUND(D1063*F1063,2)</f>
        <v>0</v>
      </c>
    </row>
    <row r="1064" spans="1:7" ht="19.899999999999999" customHeight="1" x14ac:dyDescent="0.2">
      <c r="A1064" s="519"/>
      <c r="B1064" s="480"/>
      <c r="C1064" s="483"/>
      <c r="D1064" s="484"/>
      <c r="E1064" s="485">
        <f t="shared" si="238"/>
        <v>0</v>
      </c>
      <c r="F1064" s="486">
        <f t="shared" si="239"/>
        <v>0</v>
      </c>
      <c r="G1064" s="486">
        <f>ROUND(D1064*F1064,2)</f>
        <v>0</v>
      </c>
    </row>
    <row r="1065" spans="1:7" ht="19.899999999999999" customHeight="1" x14ac:dyDescent="0.2">
      <c r="A1065" s="519"/>
      <c r="B1065" s="480"/>
      <c r="C1065" s="483"/>
      <c r="D1065" s="484"/>
      <c r="E1065" s="485">
        <f t="shared" si="238"/>
        <v>0</v>
      </c>
      <c r="F1065" s="486">
        <f t="shared" si="239"/>
        <v>0</v>
      </c>
      <c r="G1065" s="486">
        <f>ROUND(D1065*F1065,2)</f>
        <v>0</v>
      </c>
    </row>
    <row r="1066" spans="1:7" ht="19.899999999999999" customHeight="1" x14ac:dyDescent="0.2">
      <c r="A1066" s="519"/>
      <c r="B1066" s="480"/>
      <c r="C1066" s="483"/>
      <c r="D1066" s="484"/>
      <c r="E1066" s="485">
        <f t="shared" si="238"/>
        <v>0</v>
      </c>
      <c r="F1066" s="486">
        <f t="shared" si="239"/>
        <v>0</v>
      </c>
      <c r="G1066" s="486">
        <f t="shared" ref="G1066:G1071" si="240">ROUND(D1066*F1066,2)</f>
        <v>0</v>
      </c>
    </row>
    <row r="1067" spans="1:7" ht="19.899999999999999" customHeight="1" x14ac:dyDescent="0.2">
      <c r="A1067" s="519"/>
      <c r="B1067" s="480"/>
      <c r="C1067" s="483"/>
      <c r="D1067" s="484"/>
      <c r="E1067" s="485">
        <f t="shared" si="238"/>
        <v>0</v>
      </c>
      <c r="F1067" s="486">
        <f t="shared" si="239"/>
        <v>0</v>
      </c>
      <c r="G1067" s="486">
        <f t="shared" si="240"/>
        <v>0</v>
      </c>
    </row>
    <row r="1068" spans="1:7" ht="19.899999999999999" customHeight="1" x14ac:dyDescent="0.2">
      <c r="A1068" s="519"/>
      <c r="B1068" s="480"/>
      <c r="C1068" s="483"/>
      <c r="D1068" s="484"/>
      <c r="E1068" s="485">
        <f t="shared" si="238"/>
        <v>0</v>
      </c>
      <c r="F1068" s="486">
        <f t="shared" si="239"/>
        <v>0</v>
      </c>
      <c r="G1068" s="486">
        <f t="shared" si="240"/>
        <v>0</v>
      </c>
    </row>
    <row r="1069" spans="1:7" ht="19.899999999999999" customHeight="1" x14ac:dyDescent="0.2">
      <c r="A1069" s="519"/>
      <c r="B1069" s="480"/>
      <c r="C1069" s="483"/>
      <c r="D1069" s="484"/>
      <c r="E1069" s="485">
        <f t="shared" si="238"/>
        <v>0</v>
      </c>
      <c r="F1069" s="486">
        <f t="shared" si="239"/>
        <v>0</v>
      </c>
      <c r="G1069" s="486">
        <f t="shared" si="240"/>
        <v>0</v>
      </c>
    </row>
    <row r="1070" spans="1:7" ht="19.899999999999999" customHeight="1" x14ac:dyDescent="0.2">
      <c r="A1070" s="519"/>
      <c r="B1070" s="480"/>
      <c r="C1070" s="483"/>
      <c r="D1070" s="484"/>
      <c r="E1070" s="485">
        <f t="shared" si="238"/>
        <v>0</v>
      </c>
      <c r="F1070" s="486">
        <f t="shared" si="239"/>
        <v>0</v>
      </c>
      <c r="G1070" s="486">
        <f t="shared" si="240"/>
        <v>0</v>
      </c>
    </row>
    <row r="1071" spans="1:7" ht="19.899999999999999" customHeight="1" x14ac:dyDescent="0.2">
      <c r="A1071" s="519"/>
      <c r="B1071" s="480"/>
      <c r="C1071" s="483"/>
      <c r="D1071" s="484"/>
      <c r="E1071" s="485">
        <f t="shared" si="238"/>
        <v>0</v>
      </c>
      <c r="F1071" s="486">
        <f t="shared" si="239"/>
        <v>0</v>
      </c>
      <c r="G1071" s="486">
        <f t="shared" si="240"/>
        <v>0</v>
      </c>
    </row>
    <row r="1072" spans="1:7" ht="19.899999999999999" customHeight="1" x14ac:dyDescent="0.2">
      <c r="A1072" s="519"/>
      <c r="B1072" s="480"/>
      <c r="C1072" s="175"/>
      <c r="D1072" s="175"/>
      <c r="E1072" s="487"/>
      <c r="F1072" s="472"/>
      <c r="G1072" s="521"/>
    </row>
    <row r="1073" spans="1:7" ht="19.899999999999999" customHeight="1" x14ac:dyDescent="0.2">
      <c r="A1073" s="519"/>
      <c r="B1073" s="175"/>
      <c r="C1073" s="469" t="s">
        <v>1004</v>
      </c>
      <c r="D1073" s="472" t="s">
        <v>1001</v>
      </c>
      <c r="E1073" s="538">
        <f>SUMPRODUCT(D1062:D1071,E1062:E1071)</f>
        <v>0</v>
      </c>
      <c r="F1073" s="472" t="s">
        <v>1005</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1006</v>
      </c>
      <c r="D1075" s="489">
        <f>IFERROR(VLOOKUP(COUNTIF($A$1:A1075,"ANALISIS DE PRECIOS"),T_Rendimiento_Equipo,5,FALSE),0)</f>
        <v>0</v>
      </c>
      <c r="E1075" s="490" t="str">
        <f ca="1">G1057&amp;"/día"</f>
        <v>0/día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06" t="s">
        <v>576</v>
      </c>
      <c r="B1077" s="707"/>
      <c r="C1077" s="708" t="s">
        <v>0</v>
      </c>
      <c r="D1077" s="720" t="s">
        <v>1866</v>
      </c>
      <c r="E1077" s="720" t="s">
        <v>1865</v>
      </c>
      <c r="F1077" s="712" t="s">
        <v>1007</v>
      </c>
      <c r="G1077" s="714" t="s">
        <v>26</v>
      </c>
    </row>
    <row r="1078" spans="1:7" ht="19.899999999999999" customHeight="1" x14ac:dyDescent="0.2">
      <c r="A1078" s="491" t="s">
        <v>577</v>
      </c>
      <c r="B1078" s="491" t="s">
        <v>578</v>
      </c>
      <c r="C1078" s="709"/>
      <c r="D1078" s="721"/>
      <c r="E1078" s="711"/>
      <c r="F1078" s="713"/>
      <c r="G1078" s="715"/>
    </row>
    <row r="1079" spans="1:7" ht="19.899999999999999" customHeight="1" x14ac:dyDescent="0.2">
      <c r="A1079" s="527"/>
      <c r="B1079" s="175"/>
      <c r="C1079" s="469" t="s">
        <v>1008</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27</v>
      </c>
      <c r="G1089" s="531">
        <f>SUBTOTAL(9,G1080:G1088)</f>
        <v>0</v>
      </c>
    </row>
    <row r="1090" spans="1:7" ht="19.899999999999999" customHeight="1" x14ac:dyDescent="0.2">
      <c r="A1090" s="527"/>
      <c r="B1090" s="175"/>
      <c r="C1090" s="469" t="s">
        <v>713</v>
      </c>
      <c r="D1090" s="473"/>
      <c r="E1090" s="474"/>
      <c r="F1090" s="475"/>
      <c r="G1090" s="528"/>
    </row>
    <row r="1091" spans="1:7" ht="19.899999999999999" customHeight="1" x14ac:dyDescent="0.2">
      <c r="A1091" s="706" t="s">
        <v>576</v>
      </c>
      <c r="B1091" s="707"/>
      <c r="C1091" s="708" t="s">
        <v>0</v>
      </c>
      <c r="D1091" s="710" t="s">
        <v>24</v>
      </c>
      <c r="E1091" s="710" t="s">
        <v>1832</v>
      </c>
      <c r="F1091" s="712" t="s">
        <v>1007</v>
      </c>
      <c r="G1091" s="714" t="s">
        <v>26</v>
      </c>
    </row>
    <row r="1092" spans="1:7" ht="19.899999999999999" customHeight="1" x14ac:dyDescent="0.2">
      <c r="A1092" s="491" t="s">
        <v>577</v>
      </c>
      <c r="B1092" s="491" t="s">
        <v>578</v>
      </c>
      <c r="C1092" s="709"/>
      <c r="D1092" s="711"/>
      <c r="E1092" s="711"/>
      <c r="F1092" s="713"/>
      <c r="G1092" s="715"/>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28</v>
      </c>
      <c r="G1100" s="532">
        <f>SUBTOTAL(9,G1093:G1099)</f>
        <v>0</v>
      </c>
    </row>
    <row r="1101" spans="1:7" ht="19.899999999999999" customHeight="1" x14ac:dyDescent="0.2">
      <c r="A1101" s="527"/>
      <c r="B1101" s="175"/>
      <c r="C1101" s="469" t="s">
        <v>1014</v>
      </c>
      <c r="D1101" s="473"/>
      <c r="E1101" s="474"/>
      <c r="F1101" s="475"/>
      <c r="G1101" s="528"/>
    </row>
    <row r="1102" spans="1:7" ht="19.899999999999999" customHeight="1" x14ac:dyDescent="0.2">
      <c r="A1102" s="706" t="s">
        <v>576</v>
      </c>
      <c r="B1102" s="707"/>
      <c r="C1102" s="708" t="s">
        <v>0</v>
      </c>
      <c r="D1102" s="708" t="s">
        <v>1867</v>
      </c>
      <c r="E1102" s="710" t="s">
        <v>24</v>
      </c>
      <c r="F1102" s="712" t="s">
        <v>25</v>
      </c>
      <c r="G1102" s="714" t="s">
        <v>26</v>
      </c>
    </row>
    <row r="1103" spans="1:7" ht="19.899999999999999" customHeight="1" x14ac:dyDescent="0.2">
      <c r="A1103" s="491" t="s">
        <v>577</v>
      </c>
      <c r="B1103" s="491" t="s">
        <v>578</v>
      </c>
      <c r="C1103" s="709"/>
      <c r="D1103" s="709"/>
      <c r="E1103" s="711"/>
      <c r="F1103" s="713"/>
      <c r="G1103" s="715"/>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29</v>
      </c>
      <c r="G1115" s="532">
        <f>SUBTOTAL(9,G1104:G1114)</f>
        <v>0</v>
      </c>
    </row>
    <row r="1116" spans="1:7" ht="19.899999999999999" customHeight="1" x14ac:dyDescent="0.2">
      <c r="A1116" s="527"/>
      <c r="B1116" s="175"/>
      <c r="C1116" s="469" t="s">
        <v>1015</v>
      </c>
      <c r="D1116" s="473"/>
      <c r="E1116" s="474"/>
      <c r="F1116" s="475"/>
      <c r="G1116" s="528"/>
    </row>
    <row r="1117" spans="1:7" ht="19.899999999999999" customHeight="1" x14ac:dyDescent="0.2">
      <c r="A1117" s="706" t="s">
        <v>576</v>
      </c>
      <c r="B1117" s="707"/>
      <c r="C1117" s="708" t="s">
        <v>0</v>
      </c>
      <c r="D1117" s="708" t="s">
        <v>1867</v>
      </c>
      <c r="E1117" s="710" t="s">
        <v>24</v>
      </c>
      <c r="F1117" s="712" t="s">
        <v>25</v>
      </c>
      <c r="G1117" s="714" t="s">
        <v>26</v>
      </c>
    </row>
    <row r="1118" spans="1:7" ht="19.899999999999999" customHeight="1" x14ac:dyDescent="0.2">
      <c r="A1118" s="491" t="s">
        <v>577</v>
      </c>
      <c r="B1118" s="491" t="s">
        <v>578</v>
      </c>
      <c r="C1118" s="709"/>
      <c r="D1118" s="709"/>
      <c r="E1118" s="711"/>
      <c r="F1118" s="713"/>
      <c r="G1118" s="715"/>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x14ac:dyDescent="0.2">
      <c r="A1121" s="527"/>
      <c r="B1121" s="175"/>
      <c r="C1121" s="175"/>
      <c r="D1121" s="473"/>
      <c r="E1121" s="474"/>
      <c r="F1121" s="495" t="s">
        <v>1016</v>
      </c>
      <c r="G1121" s="532">
        <f>SUBTOTAL(9,G1119:G1120)</f>
        <v>0</v>
      </c>
    </row>
    <row r="1122" spans="1:7" ht="19.899999999999999" customHeight="1" x14ac:dyDescent="0.2">
      <c r="A1122" s="530"/>
      <c r="B1122" s="473"/>
      <c r="C1122" s="175"/>
      <c r="D1122" s="473"/>
      <c r="E1122" s="474"/>
      <c r="F1122" s="475"/>
      <c r="G1122" s="528"/>
    </row>
    <row r="1123" spans="1:7" ht="19.899999999999999" customHeight="1" x14ac:dyDescent="0.2">
      <c r="A1123" s="588" t="str">
        <f>B1057</f>
        <v/>
      </c>
      <c r="B1123" s="585">
        <f ca="1">C1057</f>
        <v>0</v>
      </c>
      <c r="C1123" s="473"/>
      <c r="D1123" s="473" t="s">
        <v>1833</v>
      </c>
      <c r="E1123" s="586"/>
      <c r="F1123" s="587" t="str">
        <f ca="1">"$/"&amp;G1057</f>
        <v>$/0</v>
      </c>
      <c r="G1123" s="537">
        <f>SUBTOTAL(9,G1080:G1122)</f>
        <v>0</v>
      </c>
    </row>
    <row r="1124" spans="1:7" ht="19.899999999999999" customHeight="1" x14ac:dyDescent="0.2">
      <c r="A1124" s="533"/>
      <c r="B1124" s="534"/>
      <c r="C1124" s="535"/>
      <c r="D1124" s="535" t="s">
        <v>2043</v>
      </c>
      <c r="E1124" s="536"/>
      <c r="F1124" s="589" t="str">
        <f ca="1">"$/"&amp;G1057</f>
        <v>$/0</v>
      </c>
      <c r="G1124" s="537">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16" t="s">
        <v>31</v>
      </c>
      <c r="B1126" s="717"/>
      <c r="C1126" s="717"/>
      <c r="D1126" s="717"/>
      <c r="E1126" s="717"/>
      <c r="F1126" s="717"/>
      <c r="G1126" s="718"/>
    </row>
    <row r="1127" spans="1:7" ht="19.899999999999999" customHeight="1" x14ac:dyDescent="0.2">
      <c r="A1127" s="516" t="s">
        <v>711</v>
      </c>
      <c r="B1127" s="467" t="str">
        <f>Comitente</f>
        <v>DIRECCIÓN PROVINCIAL DE VIALIDAD</v>
      </c>
      <c r="C1127" s="468"/>
      <c r="D1127" s="469"/>
      <c r="E1127" s="469"/>
      <c r="F1127" s="470"/>
      <c r="G1127" s="517"/>
    </row>
    <row r="1128" spans="1:7" ht="19.899999999999999" customHeight="1" x14ac:dyDescent="0.2">
      <c r="A1128" s="516" t="s">
        <v>712</v>
      </c>
      <c r="B1128" s="467">
        <f>Contratista</f>
        <v>0</v>
      </c>
      <c r="C1128" s="471"/>
      <c r="D1128" s="471"/>
      <c r="E1128" s="471"/>
      <c r="F1128" s="467"/>
      <c r="G1128" s="518"/>
    </row>
    <row r="1129" spans="1:7" ht="19.899999999999999" customHeight="1" x14ac:dyDescent="0.2">
      <c r="A1129" s="516" t="s">
        <v>21</v>
      </c>
      <c r="B1129" s="467" t="str">
        <f>Obra</f>
        <v>OBRA BÁSICA Y PAVIMENTACIÓN CALLE GÜEMES</v>
      </c>
      <c r="C1129" s="471"/>
      <c r="D1129" s="471"/>
      <c r="E1129" s="471"/>
      <c r="F1129" s="467" t="s">
        <v>32</v>
      </c>
      <c r="G1129" s="518">
        <f>Fecha_Base</f>
        <v>0</v>
      </c>
    </row>
    <row r="1130" spans="1:7" ht="19.899999999999999" customHeight="1" x14ac:dyDescent="0.2">
      <c r="A1130" s="519" t="s">
        <v>710</v>
      </c>
      <c r="B1130" s="472" t="str">
        <f>Ubicación</f>
        <v>Rawson - Santa Lucia</v>
      </c>
      <c r="C1130" s="472"/>
      <c r="D1130" s="473"/>
      <c r="E1130" s="474"/>
      <c r="F1130" s="475"/>
      <c r="G1130" s="520"/>
    </row>
    <row r="1131" spans="1:7" ht="19.899999999999999" customHeight="1" x14ac:dyDescent="0.2">
      <c r="A1131" s="519" t="s">
        <v>33</v>
      </c>
      <c r="B1131" s="476" t="str">
        <f>IFERROR(VALUE(LEFT(B1132,FIND(".",B1132)-1)),"")</f>
        <v/>
      </c>
      <c r="C1131" s="175">
        <f ca="1">IFERROR(VLOOKUP(B1131,T_Computo_Presupuesto,2,FALSE),0)</f>
        <v>0</v>
      </c>
      <c r="D1131" s="175"/>
      <c r="E1131" s="474"/>
      <c r="F1131" s="475"/>
      <c r="G1131" s="520"/>
    </row>
    <row r="1132" spans="1:7" ht="19.899999999999999" customHeight="1" x14ac:dyDescent="0.2">
      <c r="A1132" s="519" t="s">
        <v>22</v>
      </c>
      <c r="B1132" s="477" t="str">
        <f>IFERROR(VLOOKUP(COUNTIF($A$1:A1132,"ANALISIS DE PRECIOS"),T_NumeroItem,2,FALSE),"")</f>
        <v/>
      </c>
      <c r="C1132" s="719">
        <f ca="1">IFERROR(VLOOKUP(B1132,T_Computo_Presupuesto,2,FALSE),0)</f>
        <v>0</v>
      </c>
      <c r="D1132" s="719"/>
      <c r="E1132" s="719"/>
      <c r="F1132" s="472" t="s">
        <v>23</v>
      </c>
      <c r="G1132" s="521">
        <f ca="1">IFERROR(VLOOKUP(B1132,T_Computo_Presupuesto,4,FALSE),0)</f>
        <v>0</v>
      </c>
    </row>
    <row r="1133" spans="1:7" ht="19.899999999999999" customHeight="1" x14ac:dyDescent="0.2">
      <c r="A1133" s="519"/>
      <c r="B1133" s="472"/>
      <c r="C1133" s="175"/>
      <c r="D1133" s="473"/>
      <c r="E1133" s="474"/>
      <c r="F1133" s="175"/>
      <c r="G1133" s="522"/>
    </row>
    <row r="1134" spans="1:7" ht="19.899999999999999" customHeight="1" x14ac:dyDescent="0.2">
      <c r="A1134" s="523"/>
      <c r="B1134" s="478"/>
      <c r="C1134" s="479" t="s">
        <v>999</v>
      </c>
      <c r="D1134" s="478"/>
      <c r="E1134" s="478"/>
      <c r="F1134" s="478"/>
      <c r="G1134" s="524"/>
    </row>
    <row r="1135" spans="1:7" ht="19.899999999999999" customHeight="1" x14ac:dyDescent="0.2">
      <c r="A1135" s="519"/>
      <c r="B1135" s="480"/>
      <c r="C1135" s="175"/>
      <c r="D1135" s="473"/>
      <c r="E1135" s="474"/>
      <c r="F1135" s="472"/>
      <c r="G1135" s="521"/>
    </row>
    <row r="1136" spans="1:7" ht="19.899999999999999" customHeight="1" x14ac:dyDescent="0.2">
      <c r="A1136" s="519"/>
      <c r="B1136" s="480"/>
      <c r="C1136" s="481" t="s">
        <v>1000</v>
      </c>
      <c r="D1136" s="482" t="s">
        <v>24</v>
      </c>
      <c r="E1136" s="482" t="s">
        <v>1001</v>
      </c>
      <c r="F1136" s="482" t="s">
        <v>1002</v>
      </c>
      <c r="G1136" s="481" t="s">
        <v>1003</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1004</v>
      </c>
      <c r="D1148" s="472" t="s">
        <v>1001</v>
      </c>
      <c r="E1148" s="538">
        <f>SUMPRODUCT(D1137:D1146,E1137:E1146)</f>
        <v>0</v>
      </c>
      <c r="F1148" s="472" t="s">
        <v>1005</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1006</v>
      </c>
      <c r="D1150" s="489">
        <f>IFERROR(VLOOKUP(COUNTIF($A$1:A1150,"ANALISIS DE PRECIOS"),T_Rendimiento_Equipo,5,FALSE),0)</f>
        <v>0</v>
      </c>
      <c r="E1150" s="490" t="str">
        <f ca="1">G1132&amp;"/día"</f>
        <v>0/día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06" t="s">
        <v>576</v>
      </c>
      <c r="B1152" s="707"/>
      <c r="C1152" s="708" t="s">
        <v>0</v>
      </c>
      <c r="D1152" s="720" t="s">
        <v>1866</v>
      </c>
      <c r="E1152" s="720" t="s">
        <v>1865</v>
      </c>
      <c r="F1152" s="712" t="s">
        <v>1007</v>
      </c>
      <c r="G1152" s="714" t="s">
        <v>26</v>
      </c>
    </row>
    <row r="1153" spans="1:7" ht="19.899999999999999" customHeight="1" x14ac:dyDescent="0.2">
      <c r="A1153" s="491" t="s">
        <v>577</v>
      </c>
      <c r="B1153" s="491" t="s">
        <v>578</v>
      </c>
      <c r="C1153" s="709"/>
      <c r="D1153" s="721"/>
      <c r="E1153" s="711"/>
      <c r="F1153" s="713"/>
      <c r="G1153" s="715"/>
    </row>
    <row r="1154" spans="1:7" ht="19.899999999999999" customHeight="1" x14ac:dyDescent="0.2">
      <c r="A1154" s="527"/>
      <c r="B1154" s="175"/>
      <c r="C1154" s="469" t="s">
        <v>1008</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27</v>
      </c>
      <c r="G1164" s="531">
        <f>SUBTOTAL(9,G1155:G1163)</f>
        <v>0</v>
      </c>
    </row>
    <row r="1165" spans="1:7" ht="19.899999999999999" customHeight="1" x14ac:dyDescent="0.2">
      <c r="A1165" s="527"/>
      <c r="B1165" s="175"/>
      <c r="C1165" s="469" t="s">
        <v>713</v>
      </c>
      <c r="D1165" s="473"/>
      <c r="E1165" s="474"/>
      <c r="F1165" s="475"/>
      <c r="G1165" s="528"/>
    </row>
    <row r="1166" spans="1:7" ht="19.899999999999999" customHeight="1" x14ac:dyDescent="0.2">
      <c r="A1166" s="706" t="s">
        <v>576</v>
      </c>
      <c r="B1166" s="707"/>
      <c r="C1166" s="708" t="s">
        <v>0</v>
      </c>
      <c r="D1166" s="710" t="s">
        <v>24</v>
      </c>
      <c r="E1166" s="710" t="s">
        <v>1832</v>
      </c>
      <c r="F1166" s="712" t="s">
        <v>1007</v>
      </c>
      <c r="G1166" s="714" t="s">
        <v>26</v>
      </c>
    </row>
    <row r="1167" spans="1:7" ht="19.899999999999999" customHeight="1" x14ac:dyDescent="0.2">
      <c r="A1167" s="491" t="s">
        <v>577</v>
      </c>
      <c r="B1167" s="491" t="s">
        <v>578</v>
      </c>
      <c r="C1167" s="709"/>
      <c r="D1167" s="711"/>
      <c r="E1167" s="711"/>
      <c r="F1167" s="713"/>
      <c r="G1167" s="715"/>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28</v>
      </c>
      <c r="G1175" s="532">
        <f>SUBTOTAL(9,G1168:G1174)</f>
        <v>0</v>
      </c>
    </row>
    <row r="1176" spans="1:7" ht="19.899999999999999" customHeight="1" x14ac:dyDescent="0.2">
      <c r="A1176" s="527"/>
      <c r="B1176" s="175"/>
      <c r="C1176" s="469" t="s">
        <v>1014</v>
      </c>
      <c r="D1176" s="473"/>
      <c r="E1176" s="474"/>
      <c r="F1176" s="475"/>
      <c r="G1176" s="528"/>
    </row>
    <row r="1177" spans="1:7" ht="19.899999999999999" customHeight="1" x14ac:dyDescent="0.2">
      <c r="A1177" s="706" t="s">
        <v>576</v>
      </c>
      <c r="B1177" s="707"/>
      <c r="C1177" s="708" t="s">
        <v>0</v>
      </c>
      <c r="D1177" s="708" t="s">
        <v>1867</v>
      </c>
      <c r="E1177" s="710" t="s">
        <v>24</v>
      </c>
      <c r="F1177" s="712" t="s">
        <v>25</v>
      </c>
      <c r="G1177" s="714" t="s">
        <v>26</v>
      </c>
    </row>
    <row r="1178" spans="1:7" ht="19.899999999999999" customHeight="1" x14ac:dyDescent="0.2">
      <c r="A1178" s="491" t="s">
        <v>577</v>
      </c>
      <c r="B1178" s="491" t="s">
        <v>578</v>
      </c>
      <c r="C1178" s="709"/>
      <c r="D1178" s="709"/>
      <c r="E1178" s="711"/>
      <c r="F1178" s="713"/>
      <c r="G1178" s="715"/>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29</v>
      </c>
      <c r="G1190" s="532">
        <f>SUBTOTAL(9,G1179:G1189)</f>
        <v>0</v>
      </c>
    </row>
    <row r="1191" spans="1:7" ht="19.899999999999999" customHeight="1" x14ac:dyDescent="0.2">
      <c r="A1191" s="527"/>
      <c r="B1191" s="175"/>
      <c r="C1191" s="469" t="s">
        <v>1015</v>
      </c>
      <c r="D1191" s="473"/>
      <c r="E1191" s="474"/>
      <c r="F1191" s="475"/>
      <c r="G1191" s="528"/>
    </row>
    <row r="1192" spans="1:7" ht="19.899999999999999" customHeight="1" x14ac:dyDescent="0.2">
      <c r="A1192" s="706" t="s">
        <v>576</v>
      </c>
      <c r="B1192" s="707"/>
      <c r="C1192" s="708" t="s">
        <v>0</v>
      </c>
      <c r="D1192" s="708" t="s">
        <v>1867</v>
      </c>
      <c r="E1192" s="710" t="s">
        <v>24</v>
      </c>
      <c r="F1192" s="712" t="s">
        <v>25</v>
      </c>
      <c r="G1192" s="714" t="s">
        <v>26</v>
      </c>
    </row>
    <row r="1193" spans="1:7" ht="19.899999999999999" customHeight="1" x14ac:dyDescent="0.2">
      <c r="A1193" s="491" t="s">
        <v>577</v>
      </c>
      <c r="B1193" s="491" t="s">
        <v>578</v>
      </c>
      <c r="C1193" s="709"/>
      <c r="D1193" s="709"/>
      <c r="E1193" s="711"/>
      <c r="F1193" s="713"/>
      <c r="G1193" s="715"/>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1016</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t="str">
        <f>B1132</f>
        <v/>
      </c>
      <c r="B1198" s="585">
        <f ca="1">C1132</f>
        <v>0</v>
      </c>
      <c r="C1198" s="473"/>
      <c r="D1198" s="473" t="s">
        <v>1833</v>
      </c>
      <c r="E1198" s="586"/>
      <c r="F1198" s="587" t="str">
        <f ca="1">"$/"&amp;G1132</f>
        <v>$/0</v>
      </c>
      <c r="G1198" s="537">
        <f>SUBTOTAL(9,G1155:G1197)</f>
        <v>0</v>
      </c>
    </row>
    <row r="1199" spans="1:7" ht="19.899999999999999" customHeight="1" x14ac:dyDescent="0.2">
      <c r="A1199" s="533"/>
      <c r="B1199" s="534"/>
      <c r="C1199" s="535"/>
      <c r="D1199" s="535" t="s">
        <v>2043</v>
      </c>
      <c r="E1199" s="536"/>
      <c r="F1199" s="589" t="str">
        <f ca="1">"$/"&amp;G1132</f>
        <v>$/0</v>
      </c>
      <c r="G1199" s="537">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16" t="s">
        <v>31</v>
      </c>
      <c r="B1201" s="717"/>
      <c r="C1201" s="717"/>
      <c r="D1201" s="717"/>
      <c r="E1201" s="717"/>
      <c r="F1201" s="717"/>
      <c r="G1201" s="718"/>
      <c r="H1201" s="65"/>
    </row>
    <row r="1202" spans="1:8" ht="19.899999999999999" customHeight="1" x14ac:dyDescent="0.2">
      <c r="A1202" s="516" t="s">
        <v>711</v>
      </c>
      <c r="B1202" s="467" t="str">
        <f>Comitente</f>
        <v>DIRECCIÓN PROVINCIAL DE VIALIDAD</v>
      </c>
      <c r="C1202" s="468"/>
      <c r="D1202" s="469"/>
      <c r="E1202" s="469"/>
      <c r="F1202" s="470"/>
      <c r="G1202" s="517"/>
      <c r="H1202" s="65"/>
    </row>
    <row r="1203" spans="1:8" ht="19.899999999999999" customHeight="1" x14ac:dyDescent="0.2">
      <c r="A1203" s="516" t="s">
        <v>712</v>
      </c>
      <c r="B1203" s="467">
        <f>Contratista</f>
        <v>0</v>
      </c>
      <c r="C1203" s="471"/>
      <c r="D1203" s="471"/>
      <c r="E1203" s="471"/>
      <c r="F1203" s="467"/>
      <c r="G1203" s="518"/>
      <c r="H1203" s="65"/>
    </row>
    <row r="1204" spans="1:8" ht="19.899999999999999" customHeight="1" x14ac:dyDescent="0.2">
      <c r="A1204" s="516" t="s">
        <v>21</v>
      </c>
      <c r="B1204" s="467" t="str">
        <f>Obra</f>
        <v>OBRA BÁSICA Y PAVIMENTACIÓN CALLE GÜEMES</v>
      </c>
      <c r="C1204" s="471"/>
      <c r="D1204" s="471"/>
      <c r="E1204" s="471"/>
      <c r="F1204" s="467" t="s">
        <v>32</v>
      </c>
      <c r="G1204" s="518">
        <f>Fecha_Base</f>
        <v>0</v>
      </c>
      <c r="H1204" s="65"/>
    </row>
    <row r="1205" spans="1:8" ht="19.899999999999999" customHeight="1" x14ac:dyDescent="0.2">
      <c r="A1205" s="519" t="s">
        <v>710</v>
      </c>
      <c r="B1205" s="472" t="str">
        <f>Ubicación</f>
        <v>Rawson - Santa Lucia</v>
      </c>
      <c r="C1205" s="472"/>
      <c r="D1205" s="473"/>
      <c r="E1205" s="474"/>
      <c r="F1205" s="475"/>
      <c r="G1205" s="520"/>
      <c r="H1205" s="65"/>
    </row>
    <row r="1206" spans="1:8" ht="19.899999999999999" customHeight="1" x14ac:dyDescent="0.2">
      <c r="A1206" s="519" t="s">
        <v>33</v>
      </c>
      <c r="B1206" s="476" t="str">
        <f>IFERROR(VALUE(LEFT(B1207,FIND(".",B1207)-1)),"")</f>
        <v/>
      </c>
      <c r="C1206" s="175">
        <f ca="1">IFERROR(VLOOKUP(B1206,T_Computo_Presupuesto,2,FALSE),0)</f>
        <v>0</v>
      </c>
      <c r="D1206" s="175"/>
      <c r="E1206" s="474"/>
      <c r="F1206" s="475"/>
      <c r="G1206" s="520"/>
      <c r="H1206" s="65"/>
    </row>
    <row r="1207" spans="1:8" ht="19.899999999999999" customHeight="1" x14ac:dyDescent="0.2">
      <c r="A1207" s="519" t="s">
        <v>22</v>
      </c>
      <c r="B1207" s="477" t="str">
        <f>IFERROR(VLOOKUP(COUNTIF($A$1:A1207,"ANALISIS DE PRECIOS"),T_NumeroItem,2,FALSE),"")</f>
        <v/>
      </c>
      <c r="C1207" s="719">
        <f ca="1">IFERROR(VLOOKUP(B1207,T_Computo_Presupuesto,2,FALSE),0)</f>
        <v>0</v>
      </c>
      <c r="D1207" s="719"/>
      <c r="E1207" s="719"/>
      <c r="F1207" s="472" t="s">
        <v>23</v>
      </c>
      <c r="G1207" s="521">
        <f ca="1">IFERROR(VLOOKUP(B1207,T_Computo_Presupuesto,4,FALSE),0)</f>
        <v>0</v>
      </c>
      <c r="H1207" s="65"/>
    </row>
    <row r="1208" spans="1:8" ht="19.899999999999999" customHeight="1" x14ac:dyDescent="0.2">
      <c r="A1208" s="519"/>
      <c r="B1208" s="472"/>
      <c r="C1208" s="175"/>
      <c r="D1208" s="473"/>
      <c r="E1208" s="474"/>
      <c r="F1208" s="175"/>
      <c r="G1208" s="522"/>
      <c r="H1208" s="65"/>
    </row>
    <row r="1209" spans="1:8" ht="19.899999999999999" customHeight="1" x14ac:dyDescent="0.2">
      <c r="A1209" s="523"/>
      <c r="B1209" s="478"/>
      <c r="C1209" s="479" t="s">
        <v>999</v>
      </c>
      <c r="D1209" s="478"/>
      <c r="E1209" s="478"/>
      <c r="F1209" s="478"/>
      <c r="G1209" s="524"/>
      <c r="H1209" s="65"/>
    </row>
    <row r="1210" spans="1:8" ht="19.899999999999999" customHeight="1" x14ac:dyDescent="0.2">
      <c r="A1210" s="519"/>
      <c r="B1210" s="480"/>
      <c r="C1210" s="175"/>
      <c r="D1210" s="473"/>
      <c r="E1210" s="474"/>
      <c r="F1210" s="472"/>
      <c r="G1210" s="521"/>
      <c r="H1210" s="65"/>
    </row>
    <row r="1211" spans="1:8" ht="19.899999999999999" customHeight="1" x14ac:dyDescent="0.2">
      <c r="A1211" s="519"/>
      <c r="B1211" s="480"/>
      <c r="C1211" s="481" t="s">
        <v>1000</v>
      </c>
      <c r="D1211" s="482" t="s">
        <v>24</v>
      </c>
      <c r="E1211" s="482" t="s">
        <v>1001</v>
      </c>
      <c r="F1211" s="482" t="s">
        <v>1002</v>
      </c>
      <c r="G1211" s="481" t="s">
        <v>1003</v>
      </c>
    </row>
    <row r="1212" spans="1:8"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x14ac:dyDescent="0.2">
      <c r="A1213" s="519"/>
      <c r="B1213" s="480"/>
      <c r="C1213" s="483"/>
      <c r="D1213" s="484"/>
      <c r="E1213" s="485">
        <f t="shared" si="272"/>
        <v>0</v>
      </c>
      <c r="F1213" s="486">
        <f t="shared" si="273"/>
        <v>0</v>
      </c>
      <c r="G1213" s="486">
        <f>ROUND(D1213*F1213,2)</f>
        <v>0</v>
      </c>
    </row>
    <row r="1214" spans="1:8" ht="19.899999999999999" customHeight="1" x14ac:dyDescent="0.2">
      <c r="A1214" s="519"/>
      <c r="B1214" s="480"/>
      <c r="C1214" s="483"/>
      <c r="D1214" s="484"/>
      <c r="E1214" s="485">
        <f t="shared" si="272"/>
        <v>0</v>
      </c>
      <c r="F1214" s="486">
        <f t="shared" si="273"/>
        <v>0</v>
      </c>
      <c r="G1214" s="486">
        <f>ROUND(D1214*F1214,2)</f>
        <v>0</v>
      </c>
    </row>
    <row r="1215" spans="1:8" ht="19.899999999999999" customHeight="1" x14ac:dyDescent="0.2">
      <c r="A1215" s="519"/>
      <c r="B1215" s="480"/>
      <c r="C1215" s="483"/>
      <c r="D1215" s="484"/>
      <c r="E1215" s="485">
        <f t="shared" si="272"/>
        <v>0</v>
      </c>
      <c r="F1215" s="486">
        <f t="shared" si="273"/>
        <v>0</v>
      </c>
      <c r="G1215" s="486">
        <f>ROUND(D1215*F1215,2)</f>
        <v>0</v>
      </c>
    </row>
    <row r="1216" spans="1:8"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1004</v>
      </c>
      <c r="D1223" s="472" t="s">
        <v>1001</v>
      </c>
      <c r="E1223" s="538">
        <f>SUMPRODUCT(D1212:D1221,E1212:E1221)</f>
        <v>0</v>
      </c>
      <c r="F1223" s="472" t="s">
        <v>1005</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1006</v>
      </c>
      <c r="D1225" s="489">
        <f>IFERROR(VLOOKUP(COUNTIF($A$1:A1225,"ANALISIS DE PRECIOS"),T_Rendimiento_Equipo,5,FALSE),0)</f>
        <v>0</v>
      </c>
      <c r="E1225" s="490" t="str">
        <f ca="1">G1207&amp;"/día"</f>
        <v>0/día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06" t="s">
        <v>576</v>
      </c>
      <c r="B1227" s="707"/>
      <c r="C1227" s="708" t="s">
        <v>0</v>
      </c>
      <c r="D1227" s="720" t="s">
        <v>1866</v>
      </c>
      <c r="E1227" s="720" t="s">
        <v>1865</v>
      </c>
      <c r="F1227" s="712" t="s">
        <v>1007</v>
      </c>
      <c r="G1227" s="714" t="s">
        <v>26</v>
      </c>
    </row>
    <row r="1228" spans="1:7" ht="19.899999999999999" customHeight="1" x14ac:dyDescent="0.2">
      <c r="A1228" s="491" t="s">
        <v>577</v>
      </c>
      <c r="B1228" s="491" t="s">
        <v>578</v>
      </c>
      <c r="C1228" s="709"/>
      <c r="D1228" s="721"/>
      <c r="E1228" s="711"/>
      <c r="F1228" s="713"/>
      <c r="G1228" s="715"/>
    </row>
    <row r="1229" spans="1:7" ht="19.899999999999999" customHeight="1" x14ac:dyDescent="0.2">
      <c r="A1229" s="527"/>
      <c r="B1229" s="175"/>
      <c r="C1229" s="469" t="s">
        <v>1008</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27</v>
      </c>
      <c r="G1239" s="531">
        <f>SUBTOTAL(9,G1230:G1238)</f>
        <v>0</v>
      </c>
    </row>
    <row r="1240" spans="1:7" ht="19.899999999999999" customHeight="1" x14ac:dyDescent="0.2">
      <c r="A1240" s="527"/>
      <c r="B1240" s="175"/>
      <c r="C1240" s="469" t="s">
        <v>713</v>
      </c>
      <c r="D1240" s="473"/>
      <c r="E1240" s="474"/>
      <c r="F1240" s="475"/>
      <c r="G1240" s="528"/>
    </row>
    <row r="1241" spans="1:7" ht="19.899999999999999" customHeight="1" x14ac:dyDescent="0.2">
      <c r="A1241" s="706" t="s">
        <v>576</v>
      </c>
      <c r="B1241" s="707"/>
      <c r="C1241" s="708" t="s">
        <v>0</v>
      </c>
      <c r="D1241" s="710" t="s">
        <v>24</v>
      </c>
      <c r="E1241" s="710" t="s">
        <v>1832</v>
      </c>
      <c r="F1241" s="712" t="s">
        <v>1007</v>
      </c>
      <c r="G1241" s="714" t="s">
        <v>26</v>
      </c>
    </row>
    <row r="1242" spans="1:7" ht="19.899999999999999" customHeight="1" x14ac:dyDescent="0.2">
      <c r="A1242" s="491" t="s">
        <v>577</v>
      </c>
      <c r="B1242" s="491" t="s">
        <v>578</v>
      </c>
      <c r="C1242" s="709"/>
      <c r="D1242" s="711"/>
      <c r="E1242" s="711"/>
      <c r="F1242" s="713"/>
      <c r="G1242" s="715"/>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28</v>
      </c>
      <c r="G1250" s="532">
        <f>SUBTOTAL(9,G1243:G1249)</f>
        <v>0</v>
      </c>
    </row>
    <row r="1251" spans="1:7" ht="19.899999999999999" customHeight="1" x14ac:dyDescent="0.2">
      <c r="A1251" s="527"/>
      <c r="B1251" s="175"/>
      <c r="C1251" s="469" t="s">
        <v>1014</v>
      </c>
      <c r="D1251" s="473"/>
      <c r="E1251" s="474"/>
      <c r="F1251" s="475"/>
      <c r="G1251" s="528"/>
    </row>
    <row r="1252" spans="1:7" ht="19.899999999999999" customHeight="1" x14ac:dyDescent="0.2">
      <c r="A1252" s="706" t="s">
        <v>576</v>
      </c>
      <c r="B1252" s="707"/>
      <c r="C1252" s="708" t="s">
        <v>0</v>
      </c>
      <c r="D1252" s="708" t="s">
        <v>1867</v>
      </c>
      <c r="E1252" s="710" t="s">
        <v>24</v>
      </c>
      <c r="F1252" s="712" t="s">
        <v>25</v>
      </c>
      <c r="G1252" s="714" t="s">
        <v>26</v>
      </c>
    </row>
    <row r="1253" spans="1:7" ht="19.899999999999999" customHeight="1" x14ac:dyDescent="0.2">
      <c r="A1253" s="491" t="s">
        <v>577</v>
      </c>
      <c r="B1253" s="491" t="s">
        <v>578</v>
      </c>
      <c r="C1253" s="709"/>
      <c r="D1253" s="709"/>
      <c r="E1253" s="711"/>
      <c r="F1253" s="713"/>
      <c r="G1253" s="715"/>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8" ht="19.899999999999999" customHeight="1" x14ac:dyDescent="0.2">
      <c r="A1265" s="527"/>
      <c r="B1265" s="175"/>
      <c r="C1265" s="175"/>
      <c r="D1265" s="473"/>
      <c r="E1265" s="474"/>
      <c r="F1265" s="495" t="s">
        <v>29</v>
      </c>
      <c r="G1265" s="532">
        <f>SUBTOTAL(9,G1254:G1264)</f>
        <v>0</v>
      </c>
    </row>
    <row r="1266" spans="1:8" ht="19.899999999999999" customHeight="1" x14ac:dyDescent="0.2">
      <c r="A1266" s="527"/>
      <c r="B1266" s="175"/>
      <c r="C1266" s="469" t="s">
        <v>1015</v>
      </c>
      <c r="D1266" s="473"/>
      <c r="E1266" s="474"/>
      <c r="F1266" s="475"/>
      <c r="G1266" s="528"/>
    </row>
    <row r="1267" spans="1:8" ht="19.899999999999999" customHeight="1" x14ac:dyDescent="0.2">
      <c r="A1267" s="706" t="s">
        <v>576</v>
      </c>
      <c r="B1267" s="707"/>
      <c r="C1267" s="708" t="s">
        <v>0</v>
      </c>
      <c r="D1267" s="708" t="s">
        <v>1867</v>
      </c>
      <c r="E1267" s="710" t="s">
        <v>24</v>
      </c>
      <c r="F1267" s="712" t="s">
        <v>25</v>
      </c>
      <c r="G1267" s="714" t="s">
        <v>26</v>
      </c>
    </row>
    <row r="1268" spans="1:8" ht="19.899999999999999" customHeight="1" x14ac:dyDescent="0.2">
      <c r="A1268" s="491" t="s">
        <v>577</v>
      </c>
      <c r="B1268" s="491" t="s">
        <v>578</v>
      </c>
      <c r="C1268" s="709"/>
      <c r="D1268" s="709"/>
      <c r="E1268" s="711"/>
      <c r="F1268" s="713"/>
      <c r="G1268" s="715"/>
    </row>
    <row r="1269" spans="1:8"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x14ac:dyDescent="0.2">
      <c r="A1271" s="527"/>
      <c r="B1271" s="175"/>
      <c r="C1271" s="175"/>
      <c r="D1271" s="473"/>
      <c r="E1271" s="474"/>
      <c r="F1271" s="495" t="s">
        <v>1016</v>
      </c>
      <c r="G1271" s="532">
        <f>SUBTOTAL(9,G1269:G1270)</f>
        <v>0</v>
      </c>
      <c r="H1271" s="65"/>
    </row>
    <row r="1272" spans="1:8" ht="19.899999999999999" customHeight="1" x14ac:dyDescent="0.2">
      <c r="A1272" s="530"/>
      <c r="B1272" s="473"/>
      <c r="C1272" s="175"/>
      <c r="D1272" s="473"/>
      <c r="E1272" s="474"/>
      <c r="F1272" s="475"/>
      <c r="G1272" s="528"/>
      <c r="H1272" s="65"/>
    </row>
    <row r="1273" spans="1:8" ht="19.899999999999999" customHeight="1" x14ac:dyDescent="0.2">
      <c r="A1273" s="588" t="str">
        <f>B1207</f>
        <v/>
      </c>
      <c r="B1273" s="585">
        <f ca="1">C1207</f>
        <v>0</v>
      </c>
      <c r="C1273" s="473"/>
      <c r="D1273" s="473" t="s">
        <v>1833</v>
      </c>
      <c r="E1273" s="586"/>
      <c r="F1273" s="587" t="str">
        <f ca="1">"$/"&amp;G1207</f>
        <v>$/0</v>
      </c>
      <c r="G1273" s="537">
        <f>SUBTOTAL(9,G1230:G1272)</f>
        <v>0</v>
      </c>
      <c r="H1273" s="65"/>
    </row>
    <row r="1274" spans="1:8" ht="19.899999999999999" customHeight="1" x14ac:dyDescent="0.2">
      <c r="A1274" s="533"/>
      <c r="B1274" s="534"/>
      <c r="C1274" s="535"/>
      <c r="D1274" s="535" t="s">
        <v>2043</v>
      </c>
      <c r="E1274" s="536"/>
      <c r="F1274" s="589" t="str">
        <f ca="1">"$/"&amp;G1207</f>
        <v>$/0</v>
      </c>
      <c r="G1274" s="537">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16" t="s">
        <v>31</v>
      </c>
      <c r="B1276" s="717"/>
      <c r="C1276" s="717"/>
      <c r="D1276" s="717"/>
      <c r="E1276" s="717"/>
      <c r="F1276" s="717"/>
      <c r="G1276" s="718"/>
    </row>
    <row r="1277" spans="1:8" ht="19.899999999999999" customHeight="1" x14ac:dyDescent="0.2">
      <c r="A1277" s="516" t="s">
        <v>711</v>
      </c>
      <c r="B1277" s="467" t="str">
        <f>Comitente</f>
        <v>DIRECCIÓN PROVINCIAL DE VIALIDAD</v>
      </c>
      <c r="C1277" s="468"/>
      <c r="D1277" s="469"/>
      <c r="E1277" s="469"/>
      <c r="F1277" s="470"/>
      <c r="G1277" s="517"/>
    </row>
    <row r="1278" spans="1:8" ht="19.899999999999999" customHeight="1" x14ac:dyDescent="0.2">
      <c r="A1278" s="516" t="s">
        <v>712</v>
      </c>
      <c r="B1278" s="467">
        <f>Contratista</f>
        <v>0</v>
      </c>
      <c r="C1278" s="471"/>
      <c r="D1278" s="471"/>
      <c r="E1278" s="471"/>
      <c r="F1278" s="467"/>
      <c r="G1278" s="518"/>
    </row>
    <row r="1279" spans="1:8" ht="19.899999999999999" customHeight="1" x14ac:dyDescent="0.2">
      <c r="A1279" s="516" t="s">
        <v>21</v>
      </c>
      <c r="B1279" s="467" t="str">
        <f>Obra</f>
        <v>OBRA BÁSICA Y PAVIMENTACIÓN CALLE GÜEMES</v>
      </c>
      <c r="C1279" s="471"/>
      <c r="D1279" s="471"/>
      <c r="E1279" s="471"/>
      <c r="F1279" s="467" t="s">
        <v>32</v>
      </c>
      <c r="G1279" s="518">
        <f>Fecha_Base</f>
        <v>0</v>
      </c>
    </row>
    <row r="1280" spans="1:8" ht="19.899999999999999" customHeight="1" x14ac:dyDescent="0.2">
      <c r="A1280" s="519" t="s">
        <v>710</v>
      </c>
      <c r="B1280" s="472" t="str">
        <f>Ubicación</f>
        <v>Rawson - Santa Lucia</v>
      </c>
      <c r="C1280" s="472"/>
      <c r="D1280" s="473"/>
      <c r="E1280" s="474"/>
      <c r="F1280" s="475"/>
      <c r="G1280" s="520"/>
    </row>
    <row r="1281" spans="1:7" ht="19.899999999999999" customHeight="1" x14ac:dyDescent="0.2">
      <c r="A1281" s="519" t="s">
        <v>33</v>
      </c>
      <c r="B1281" s="476" t="str">
        <f>IFERROR(VALUE(LEFT(B1282,FIND(".",B1282)-1)),"")</f>
        <v/>
      </c>
      <c r="C1281" s="175">
        <f ca="1">IFERROR(VLOOKUP(B1281,T_Computo_Presupuesto,2,FALSE),0)</f>
        <v>0</v>
      </c>
      <c r="D1281" s="175"/>
      <c r="E1281" s="474"/>
      <c r="F1281" s="475"/>
      <c r="G1281" s="520"/>
    </row>
    <row r="1282" spans="1:7" ht="19.899999999999999" customHeight="1" x14ac:dyDescent="0.2">
      <c r="A1282" s="519" t="s">
        <v>22</v>
      </c>
      <c r="B1282" s="477" t="str">
        <f>IFERROR(VLOOKUP(COUNTIF($A$1:A1282,"ANALISIS DE PRECIOS"),T_NumeroItem,2,FALSE),"")</f>
        <v/>
      </c>
      <c r="C1282" s="719">
        <f ca="1">IFERROR(VLOOKUP(B1282,T_Computo_Presupuesto,2,FALSE),0)</f>
        <v>0</v>
      </c>
      <c r="D1282" s="719"/>
      <c r="E1282" s="719"/>
      <c r="F1282" s="472" t="s">
        <v>23</v>
      </c>
      <c r="G1282" s="521">
        <f ca="1">IFERROR(VLOOKUP(B1282,T_Computo_Presupuesto,4,FALSE),0)</f>
        <v>0</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999</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1000</v>
      </c>
      <c r="D1286" s="482" t="s">
        <v>24</v>
      </c>
      <c r="E1286" s="482" t="s">
        <v>1001</v>
      </c>
      <c r="F1286" s="482" t="s">
        <v>1002</v>
      </c>
      <c r="G1286" s="481" t="s">
        <v>1003</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1004</v>
      </c>
      <c r="D1298" s="472" t="s">
        <v>1001</v>
      </c>
      <c r="E1298" s="538">
        <f>SUMPRODUCT(D1287:D1296,E1287:E1296)</f>
        <v>0</v>
      </c>
      <c r="F1298" s="472" t="s">
        <v>1005</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1006</v>
      </c>
      <c r="D1300" s="489">
        <f>IFERROR(VLOOKUP(COUNTIF($A$1:A1300,"ANALISIS DE PRECIOS"),T_Rendimiento_Equipo,5,FALSE),0)</f>
        <v>0</v>
      </c>
      <c r="E1300" s="490" t="str">
        <f ca="1">G1282&amp;"/día"</f>
        <v>0/día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06" t="s">
        <v>576</v>
      </c>
      <c r="B1302" s="707"/>
      <c r="C1302" s="708" t="s">
        <v>0</v>
      </c>
      <c r="D1302" s="720" t="s">
        <v>1866</v>
      </c>
      <c r="E1302" s="720" t="s">
        <v>1865</v>
      </c>
      <c r="F1302" s="712" t="s">
        <v>1007</v>
      </c>
      <c r="G1302" s="714" t="s">
        <v>26</v>
      </c>
    </row>
    <row r="1303" spans="1:7" ht="19.899999999999999" customHeight="1" x14ac:dyDescent="0.2">
      <c r="A1303" s="491" t="s">
        <v>577</v>
      </c>
      <c r="B1303" s="491" t="s">
        <v>578</v>
      </c>
      <c r="C1303" s="709"/>
      <c r="D1303" s="721"/>
      <c r="E1303" s="711"/>
      <c r="F1303" s="713"/>
      <c r="G1303" s="715"/>
    </row>
    <row r="1304" spans="1:7" ht="19.899999999999999" customHeight="1" x14ac:dyDescent="0.2">
      <c r="A1304" s="527"/>
      <c r="B1304" s="175"/>
      <c r="C1304" s="469" t="s">
        <v>1008</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27</v>
      </c>
      <c r="G1314" s="531">
        <f>SUBTOTAL(9,G1305:G1313)</f>
        <v>0</v>
      </c>
    </row>
    <row r="1315" spans="1:7" ht="19.899999999999999" customHeight="1" x14ac:dyDescent="0.2">
      <c r="A1315" s="527"/>
      <c r="B1315" s="175"/>
      <c r="C1315" s="469" t="s">
        <v>713</v>
      </c>
      <c r="D1315" s="473"/>
      <c r="E1315" s="474"/>
      <c r="F1315" s="475"/>
      <c r="G1315" s="528"/>
    </row>
    <row r="1316" spans="1:7" ht="19.899999999999999" customHeight="1" x14ac:dyDescent="0.2">
      <c r="A1316" s="706" t="s">
        <v>576</v>
      </c>
      <c r="B1316" s="707"/>
      <c r="C1316" s="708" t="s">
        <v>0</v>
      </c>
      <c r="D1316" s="710" t="s">
        <v>24</v>
      </c>
      <c r="E1316" s="710" t="s">
        <v>1832</v>
      </c>
      <c r="F1316" s="712" t="s">
        <v>1007</v>
      </c>
      <c r="G1316" s="714" t="s">
        <v>26</v>
      </c>
    </row>
    <row r="1317" spans="1:7" ht="19.899999999999999" customHeight="1" x14ac:dyDescent="0.2">
      <c r="A1317" s="491" t="s">
        <v>577</v>
      </c>
      <c r="B1317" s="491" t="s">
        <v>578</v>
      </c>
      <c r="C1317" s="709"/>
      <c r="D1317" s="711"/>
      <c r="E1317" s="711"/>
      <c r="F1317" s="713"/>
      <c r="G1317" s="715"/>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28</v>
      </c>
      <c r="G1325" s="532">
        <f>SUBTOTAL(9,G1318:G1324)</f>
        <v>0</v>
      </c>
    </row>
    <row r="1326" spans="1:7" ht="19.899999999999999" customHeight="1" x14ac:dyDescent="0.2">
      <c r="A1326" s="527"/>
      <c r="B1326" s="175"/>
      <c r="C1326" s="469" t="s">
        <v>1014</v>
      </c>
      <c r="D1326" s="473"/>
      <c r="E1326" s="474"/>
      <c r="F1326" s="475"/>
      <c r="G1326" s="528"/>
    </row>
    <row r="1327" spans="1:7" ht="19.899999999999999" customHeight="1" x14ac:dyDescent="0.2">
      <c r="A1327" s="706" t="s">
        <v>576</v>
      </c>
      <c r="B1327" s="707"/>
      <c r="C1327" s="708" t="s">
        <v>0</v>
      </c>
      <c r="D1327" s="708" t="s">
        <v>1867</v>
      </c>
      <c r="E1327" s="710" t="s">
        <v>24</v>
      </c>
      <c r="F1327" s="712" t="s">
        <v>25</v>
      </c>
      <c r="G1327" s="714" t="s">
        <v>26</v>
      </c>
    </row>
    <row r="1328" spans="1:7" ht="19.899999999999999" customHeight="1" x14ac:dyDescent="0.2">
      <c r="A1328" s="491" t="s">
        <v>577</v>
      </c>
      <c r="B1328" s="491" t="s">
        <v>578</v>
      </c>
      <c r="C1328" s="709"/>
      <c r="D1328" s="709"/>
      <c r="E1328" s="711"/>
      <c r="F1328" s="713"/>
      <c r="G1328" s="715"/>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29</v>
      </c>
      <c r="G1340" s="532">
        <f>SUBTOTAL(9,G1329:G1339)</f>
        <v>0</v>
      </c>
    </row>
    <row r="1341" spans="1:7" ht="19.899999999999999" customHeight="1" x14ac:dyDescent="0.2">
      <c r="A1341" s="527"/>
      <c r="B1341" s="175"/>
      <c r="C1341" s="469" t="s">
        <v>1015</v>
      </c>
      <c r="D1341" s="473"/>
      <c r="E1341" s="474"/>
      <c r="F1341" s="475"/>
      <c r="G1341" s="528"/>
    </row>
    <row r="1342" spans="1:7" ht="19.899999999999999" customHeight="1" x14ac:dyDescent="0.2">
      <c r="A1342" s="706" t="s">
        <v>576</v>
      </c>
      <c r="B1342" s="707"/>
      <c r="C1342" s="708" t="s">
        <v>0</v>
      </c>
      <c r="D1342" s="708" t="s">
        <v>1867</v>
      </c>
      <c r="E1342" s="710" t="s">
        <v>24</v>
      </c>
      <c r="F1342" s="712" t="s">
        <v>25</v>
      </c>
      <c r="G1342" s="714" t="s">
        <v>26</v>
      </c>
    </row>
    <row r="1343" spans="1:7" ht="19.899999999999999" customHeight="1" x14ac:dyDescent="0.2">
      <c r="A1343" s="491" t="s">
        <v>577</v>
      </c>
      <c r="B1343" s="491" t="s">
        <v>578</v>
      </c>
      <c r="C1343" s="709"/>
      <c r="D1343" s="709"/>
      <c r="E1343" s="711"/>
      <c r="F1343" s="713"/>
      <c r="G1343" s="715"/>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x14ac:dyDescent="0.2">
      <c r="A1346" s="527"/>
      <c r="B1346" s="175"/>
      <c r="C1346" s="175"/>
      <c r="D1346" s="473"/>
      <c r="E1346" s="474"/>
      <c r="F1346" s="495" t="s">
        <v>1016</v>
      </c>
      <c r="G1346" s="532">
        <f>SUBTOTAL(9,G1344:G1345)</f>
        <v>0</v>
      </c>
    </row>
    <row r="1347" spans="1:7" ht="19.899999999999999" customHeight="1" x14ac:dyDescent="0.2">
      <c r="A1347" s="530"/>
      <c r="B1347" s="473"/>
      <c r="C1347" s="175"/>
      <c r="D1347" s="473"/>
      <c r="E1347" s="474"/>
      <c r="F1347" s="475"/>
      <c r="G1347" s="528"/>
    </row>
    <row r="1348" spans="1:7" ht="19.899999999999999" customHeight="1" x14ac:dyDescent="0.2">
      <c r="A1348" s="588" t="str">
        <f>B1282</f>
        <v/>
      </c>
      <c r="B1348" s="585">
        <f ca="1">C1282</f>
        <v>0</v>
      </c>
      <c r="C1348" s="473"/>
      <c r="D1348" s="473" t="s">
        <v>1833</v>
      </c>
      <c r="E1348" s="586"/>
      <c r="F1348" s="587" t="str">
        <f ca="1">"$/"&amp;G1282</f>
        <v>$/0</v>
      </c>
      <c r="G1348" s="537">
        <f>SUBTOTAL(9,G1305:G1347)</f>
        <v>0</v>
      </c>
    </row>
    <row r="1349" spans="1:7" ht="19.899999999999999" customHeight="1" x14ac:dyDescent="0.2">
      <c r="A1349" s="533"/>
      <c r="B1349" s="534"/>
      <c r="C1349" s="535"/>
      <c r="D1349" s="535" t="s">
        <v>2043</v>
      </c>
      <c r="E1349" s="536"/>
      <c r="F1349" s="589" t="str">
        <f ca="1">"$/"&amp;G1282</f>
        <v>$/0</v>
      </c>
      <c r="G1349" s="537">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16" t="s">
        <v>31</v>
      </c>
      <c r="B1351" s="717"/>
      <c r="C1351" s="717"/>
      <c r="D1351" s="717"/>
      <c r="E1351" s="717"/>
      <c r="F1351" s="717"/>
      <c r="G1351" s="718"/>
    </row>
    <row r="1352" spans="1:7" ht="19.899999999999999" customHeight="1" x14ac:dyDescent="0.2">
      <c r="A1352" s="516" t="s">
        <v>711</v>
      </c>
      <c r="B1352" s="467" t="str">
        <f>Comitente</f>
        <v>DIRECCIÓN PROVINCIAL DE VIALIDAD</v>
      </c>
      <c r="C1352" s="468"/>
      <c r="D1352" s="469"/>
      <c r="E1352" s="469"/>
      <c r="F1352" s="470"/>
      <c r="G1352" s="517"/>
    </row>
    <row r="1353" spans="1:7" ht="19.899999999999999" customHeight="1" x14ac:dyDescent="0.2">
      <c r="A1353" s="516" t="s">
        <v>712</v>
      </c>
      <c r="B1353" s="467">
        <f>Contratista</f>
        <v>0</v>
      </c>
      <c r="C1353" s="471"/>
      <c r="D1353" s="471"/>
      <c r="E1353" s="471"/>
      <c r="F1353" s="467"/>
      <c r="G1353" s="518"/>
    </row>
    <row r="1354" spans="1:7" ht="19.899999999999999" customHeight="1" x14ac:dyDescent="0.2">
      <c r="A1354" s="516" t="s">
        <v>21</v>
      </c>
      <c r="B1354" s="467" t="str">
        <f>Obra</f>
        <v>OBRA BÁSICA Y PAVIMENTACIÓN CALLE GÜEMES</v>
      </c>
      <c r="C1354" s="471"/>
      <c r="D1354" s="471"/>
      <c r="E1354" s="471"/>
      <c r="F1354" s="467" t="s">
        <v>32</v>
      </c>
      <c r="G1354" s="518">
        <f>Fecha_Base</f>
        <v>0</v>
      </c>
    </row>
    <row r="1355" spans="1:7" ht="19.899999999999999" customHeight="1" x14ac:dyDescent="0.2">
      <c r="A1355" s="519" t="s">
        <v>710</v>
      </c>
      <c r="B1355" s="472" t="str">
        <f>Ubicación</f>
        <v>Rawson - Santa Lucia</v>
      </c>
      <c r="C1355" s="472"/>
      <c r="D1355" s="473"/>
      <c r="E1355" s="474"/>
      <c r="F1355" s="475"/>
      <c r="G1355" s="520"/>
    </row>
    <row r="1356" spans="1:7" ht="19.899999999999999" customHeight="1" x14ac:dyDescent="0.2">
      <c r="A1356" s="519" t="s">
        <v>33</v>
      </c>
      <c r="B1356" s="476" t="str">
        <f>IFERROR(VALUE(LEFT(B1357,FIND(".",B1357)-1)),"")</f>
        <v/>
      </c>
      <c r="C1356" s="175">
        <f ca="1">IFERROR(VLOOKUP(B1356,T_Computo_Presupuesto,2,FALSE),0)</f>
        <v>0</v>
      </c>
      <c r="D1356" s="175"/>
      <c r="E1356" s="474"/>
      <c r="F1356" s="475"/>
      <c r="G1356" s="520"/>
    </row>
    <row r="1357" spans="1:7" ht="19.899999999999999" customHeight="1" x14ac:dyDescent="0.2">
      <c r="A1357" s="519" t="s">
        <v>22</v>
      </c>
      <c r="B1357" s="477" t="str">
        <f>IFERROR(VLOOKUP(COUNTIF($A$1:A1357,"ANALISIS DE PRECIOS"),T_NumeroItem,2,FALSE),"")</f>
        <v/>
      </c>
      <c r="C1357" s="719">
        <f ca="1">IFERROR(VLOOKUP(B1357,T_Computo_Presupuesto,2,FALSE),0)</f>
        <v>0</v>
      </c>
      <c r="D1357" s="719"/>
      <c r="E1357" s="719"/>
      <c r="F1357" s="472" t="s">
        <v>23</v>
      </c>
      <c r="G1357" s="521">
        <f ca="1">IFERROR(VLOOKUP(B1357,T_Computo_Presupuesto,4,FALSE),0)</f>
        <v>0</v>
      </c>
    </row>
    <row r="1358" spans="1:7" ht="19.899999999999999" customHeight="1" x14ac:dyDescent="0.2">
      <c r="A1358" s="519"/>
      <c r="B1358" s="472"/>
      <c r="C1358" s="175"/>
      <c r="D1358" s="473"/>
      <c r="E1358" s="474"/>
      <c r="F1358" s="175"/>
      <c r="G1358" s="522"/>
    </row>
    <row r="1359" spans="1:7" ht="19.899999999999999" customHeight="1" x14ac:dyDescent="0.2">
      <c r="A1359" s="523"/>
      <c r="B1359" s="478"/>
      <c r="C1359" s="479" t="s">
        <v>999</v>
      </c>
      <c r="D1359" s="478"/>
      <c r="E1359" s="478"/>
      <c r="F1359" s="478"/>
      <c r="G1359" s="524"/>
    </row>
    <row r="1360" spans="1:7" ht="19.899999999999999" customHeight="1" x14ac:dyDescent="0.2">
      <c r="A1360" s="519"/>
      <c r="B1360" s="480"/>
      <c r="C1360" s="175"/>
      <c r="D1360" s="473"/>
      <c r="E1360" s="474"/>
      <c r="F1360" s="472"/>
      <c r="G1360" s="521"/>
    </row>
    <row r="1361" spans="1:7" ht="19.899999999999999" customHeight="1" x14ac:dyDescent="0.2">
      <c r="A1361" s="519"/>
      <c r="B1361" s="480"/>
      <c r="C1361" s="481" t="s">
        <v>1000</v>
      </c>
      <c r="D1361" s="482" t="s">
        <v>24</v>
      </c>
      <c r="E1361" s="482" t="s">
        <v>1001</v>
      </c>
      <c r="F1361" s="482" t="s">
        <v>1002</v>
      </c>
      <c r="G1361" s="481" t="s">
        <v>1003</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1004</v>
      </c>
      <c r="D1373" s="472" t="s">
        <v>1001</v>
      </c>
      <c r="E1373" s="538">
        <f>SUMPRODUCT(D1362:D1371,E1362:E1371)</f>
        <v>0</v>
      </c>
      <c r="F1373" s="472" t="s">
        <v>1005</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1006</v>
      </c>
      <c r="D1375" s="489">
        <f>IFERROR(VLOOKUP(COUNTIF($A$1:A1375,"ANALISIS DE PRECIOS"),T_Rendimiento_Equipo,5,FALSE),0)</f>
        <v>0</v>
      </c>
      <c r="E1375" s="490" t="str">
        <f ca="1">G1357&amp;"/día"</f>
        <v>0/día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06" t="s">
        <v>576</v>
      </c>
      <c r="B1377" s="707"/>
      <c r="C1377" s="708" t="s">
        <v>0</v>
      </c>
      <c r="D1377" s="720" t="s">
        <v>1866</v>
      </c>
      <c r="E1377" s="720" t="s">
        <v>1865</v>
      </c>
      <c r="F1377" s="712" t="s">
        <v>1007</v>
      </c>
      <c r="G1377" s="714" t="s">
        <v>26</v>
      </c>
    </row>
    <row r="1378" spans="1:7" ht="19.899999999999999" customHeight="1" x14ac:dyDescent="0.2">
      <c r="A1378" s="491" t="s">
        <v>577</v>
      </c>
      <c r="B1378" s="491" t="s">
        <v>578</v>
      </c>
      <c r="C1378" s="709"/>
      <c r="D1378" s="721"/>
      <c r="E1378" s="711"/>
      <c r="F1378" s="713"/>
      <c r="G1378" s="715"/>
    </row>
    <row r="1379" spans="1:7" ht="19.899999999999999" customHeight="1" x14ac:dyDescent="0.2">
      <c r="A1379" s="527"/>
      <c r="B1379" s="175"/>
      <c r="C1379" s="469" t="s">
        <v>1008</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27</v>
      </c>
      <c r="G1389" s="531">
        <f>SUBTOTAL(9,G1380:G1388)</f>
        <v>0</v>
      </c>
    </row>
    <row r="1390" spans="1:7" ht="19.899999999999999" customHeight="1" x14ac:dyDescent="0.2">
      <c r="A1390" s="527"/>
      <c r="B1390" s="175"/>
      <c r="C1390" s="469" t="s">
        <v>713</v>
      </c>
      <c r="D1390" s="473"/>
      <c r="E1390" s="474"/>
      <c r="F1390" s="475"/>
      <c r="G1390" s="528"/>
    </row>
    <row r="1391" spans="1:7" ht="19.899999999999999" customHeight="1" x14ac:dyDescent="0.2">
      <c r="A1391" s="706" t="s">
        <v>576</v>
      </c>
      <c r="B1391" s="707"/>
      <c r="C1391" s="708" t="s">
        <v>0</v>
      </c>
      <c r="D1391" s="710" t="s">
        <v>24</v>
      </c>
      <c r="E1391" s="710" t="s">
        <v>1832</v>
      </c>
      <c r="F1391" s="712" t="s">
        <v>1007</v>
      </c>
      <c r="G1391" s="714" t="s">
        <v>26</v>
      </c>
    </row>
    <row r="1392" spans="1:7" ht="19.899999999999999" customHeight="1" x14ac:dyDescent="0.2">
      <c r="A1392" s="491" t="s">
        <v>577</v>
      </c>
      <c r="B1392" s="491" t="s">
        <v>578</v>
      </c>
      <c r="C1392" s="709"/>
      <c r="D1392" s="711"/>
      <c r="E1392" s="711"/>
      <c r="F1392" s="713"/>
      <c r="G1392" s="715"/>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28</v>
      </c>
      <c r="G1400" s="532">
        <f>SUBTOTAL(9,G1393:G1399)</f>
        <v>0</v>
      </c>
    </row>
    <row r="1401" spans="1:7" ht="19.899999999999999" customHeight="1" x14ac:dyDescent="0.2">
      <c r="A1401" s="527"/>
      <c r="B1401" s="175"/>
      <c r="C1401" s="469" t="s">
        <v>1014</v>
      </c>
      <c r="D1401" s="473"/>
      <c r="E1401" s="474"/>
      <c r="F1401" s="475"/>
      <c r="G1401" s="528"/>
    </row>
    <row r="1402" spans="1:7" ht="19.899999999999999" customHeight="1" x14ac:dyDescent="0.2">
      <c r="A1402" s="706" t="s">
        <v>576</v>
      </c>
      <c r="B1402" s="707"/>
      <c r="C1402" s="708" t="s">
        <v>0</v>
      </c>
      <c r="D1402" s="708" t="s">
        <v>1867</v>
      </c>
      <c r="E1402" s="710" t="s">
        <v>24</v>
      </c>
      <c r="F1402" s="712" t="s">
        <v>25</v>
      </c>
      <c r="G1402" s="714" t="s">
        <v>26</v>
      </c>
    </row>
    <row r="1403" spans="1:7" ht="19.899999999999999" customHeight="1" x14ac:dyDescent="0.2">
      <c r="A1403" s="491" t="s">
        <v>577</v>
      </c>
      <c r="B1403" s="491" t="s">
        <v>578</v>
      </c>
      <c r="C1403" s="709"/>
      <c r="D1403" s="709"/>
      <c r="E1403" s="711"/>
      <c r="F1403" s="713"/>
      <c r="G1403" s="715"/>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7"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7"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7"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7"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7"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7"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7" ht="19.899999999999999" customHeight="1" x14ac:dyDescent="0.2">
      <c r="A1415" s="527"/>
      <c r="B1415" s="175"/>
      <c r="C1415" s="175"/>
      <c r="D1415" s="473"/>
      <c r="E1415" s="474"/>
      <c r="F1415" s="495" t="s">
        <v>29</v>
      </c>
      <c r="G1415" s="532">
        <f>SUBTOTAL(9,G1404:G1414)</f>
        <v>0</v>
      </c>
    </row>
    <row r="1416" spans="1:7" ht="19.899999999999999" customHeight="1" x14ac:dyDescent="0.2">
      <c r="A1416" s="527"/>
      <c r="B1416" s="175"/>
      <c r="C1416" s="469" t="s">
        <v>1015</v>
      </c>
      <c r="D1416" s="473"/>
      <c r="E1416" s="474"/>
      <c r="F1416" s="475"/>
      <c r="G1416" s="528"/>
    </row>
    <row r="1417" spans="1:7" ht="19.899999999999999" customHeight="1" x14ac:dyDescent="0.2">
      <c r="A1417" s="706" t="s">
        <v>576</v>
      </c>
      <c r="B1417" s="707"/>
      <c r="C1417" s="708" t="s">
        <v>0</v>
      </c>
      <c r="D1417" s="708" t="s">
        <v>1867</v>
      </c>
      <c r="E1417" s="710" t="s">
        <v>24</v>
      </c>
      <c r="F1417" s="712" t="s">
        <v>25</v>
      </c>
      <c r="G1417" s="714" t="s">
        <v>26</v>
      </c>
    </row>
    <row r="1418" spans="1:7" ht="19.899999999999999" customHeight="1" x14ac:dyDescent="0.2">
      <c r="A1418" s="491" t="s">
        <v>577</v>
      </c>
      <c r="B1418" s="491" t="s">
        <v>578</v>
      </c>
      <c r="C1418" s="709"/>
      <c r="D1418" s="709"/>
      <c r="E1418" s="711"/>
      <c r="F1418" s="713"/>
      <c r="G1418" s="715"/>
    </row>
    <row r="1419" spans="1:7"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x14ac:dyDescent="0.2">
      <c r="A1421" s="527"/>
      <c r="B1421" s="175"/>
      <c r="C1421" s="175"/>
      <c r="D1421" s="473"/>
      <c r="E1421" s="474"/>
      <c r="F1421" s="495" t="s">
        <v>1016</v>
      </c>
      <c r="G1421" s="532">
        <f>SUBTOTAL(9,G1419:G1420)</f>
        <v>0</v>
      </c>
    </row>
    <row r="1422" spans="1:7" ht="19.899999999999999" customHeight="1" x14ac:dyDescent="0.2">
      <c r="A1422" s="530"/>
      <c r="B1422" s="473"/>
      <c r="C1422" s="175"/>
      <c r="D1422" s="473"/>
      <c r="E1422" s="474"/>
      <c r="F1422" s="475"/>
      <c r="G1422" s="528"/>
    </row>
    <row r="1423" spans="1:7" ht="19.899999999999999" customHeight="1" x14ac:dyDescent="0.2">
      <c r="A1423" s="588" t="str">
        <f>B1357</f>
        <v/>
      </c>
      <c r="B1423" s="585">
        <f ca="1">C1357</f>
        <v>0</v>
      </c>
      <c r="C1423" s="473"/>
      <c r="D1423" s="473" t="s">
        <v>1833</v>
      </c>
      <c r="E1423" s="586"/>
      <c r="F1423" s="587" t="str">
        <f ca="1">"$/"&amp;G1357</f>
        <v>$/0</v>
      </c>
      <c r="G1423" s="537">
        <f>SUBTOTAL(9,G1380:G1422)</f>
        <v>0</v>
      </c>
    </row>
    <row r="1424" spans="1:7" ht="19.899999999999999" customHeight="1" x14ac:dyDescent="0.2">
      <c r="A1424" s="533"/>
      <c r="B1424" s="534"/>
      <c r="C1424" s="535"/>
      <c r="D1424" s="535" t="s">
        <v>2043</v>
      </c>
      <c r="E1424" s="536"/>
      <c r="F1424" s="589" t="str">
        <f ca="1">"$/"&amp;G1357</f>
        <v>$/0</v>
      </c>
      <c r="G1424" s="537">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16" t="s">
        <v>31</v>
      </c>
      <c r="B1426" s="717"/>
      <c r="C1426" s="717"/>
      <c r="D1426" s="717"/>
      <c r="E1426" s="717"/>
      <c r="F1426" s="717"/>
      <c r="G1426" s="718"/>
    </row>
    <row r="1427" spans="1:7" ht="19.899999999999999" customHeight="1" x14ac:dyDescent="0.2">
      <c r="A1427" s="516" t="s">
        <v>711</v>
      </c>
      <c r="B1427" s="467" t="str">
        <f>Comitente</f>
        <v>DIRECCIÓN PROVINCIAL DE VIALIDAD</v>
      </c>
      <c r="C1427" s="468"/>
      <c r="D1427" s="469"/>
      <c r="E1427" s="469"/>
      <c r="F1427" s="470"/>
      <c r="G1427" s="517"/>
    </row>
    <row r="1428" spans="1:7" ht="19.899999999999999" customHeight="1" x14ac:dyDescent="0.2">
      <c r="A1428" s="516" t="s">
        <v>712</v>
      </c>
      <c r="B1428" s="467">
        <f>Contratista</f>
        <v>0</v>
      </c>
      <c r="C1428" s="471"/>
      <c r="D1428" s="471"/>
      <c r="E1428" s="471"/>
      <c r="F1428" s="467"/>
      <c r="G1428" s="518"/>
    </row>
    <row r="1429" spans="1:7" ht="19.899999999999999" customHeight="1" x14ac:dyDescent="0.2">
      <c r="A1429" s="516" t="s">
        <v>21</v>
      </c>
      <c r="B1429" s="467" t="str">
        <f>Obra</f>
        <v>OBRA BÁSICA Y PAVIMENTACIÓN CALLE GÜEMES</v>
      </c>
      <c r="C1429" s="471"/>
      <c r="D1429" s="471"/>
      <c r="E1429" s="471"/>
      <c r="F1429" s="467" t="s">
        <v>32</v>
      </c>
      <c r="G1429" s="518">
        <f>Fecha_Base</f>
        <v>0</v>
      </c>
    </row>
    <row r="1430" spans="1:7" ht="19.899999999999999" customHeight="1" x14ac:dyDescent="0.2">
      <c r="A1430" s="519" t="s">
        <v>710</v>
      </c>
      <c r="B1430" s="472" t="str">
        <f>Ubicación</f>
        <v>Rawson - Santa Lucia</v>
      </c>
      <c r="C1430" s="472"/>
      <c r="D1430" s="473"/>
      <c r="E1430" s="474"/>
      <c r="F1430" s="475"/>
      <c r="G1430" s="520"/>
    </row>
    <row r="1431" spans="1:7" ht="19.899999999999999" customHeight="1" x14ac:dyDescent="0.2">
      <c r="A1431" s="519" t="s">
        <v>33</v>
      </c>
      <c r="B1431" s="476" t="str">
        <f>IFERROR(VALUE(LEFT(B1432,FIND(".",B1432)-1)),"")</f>
        <v/>
      </c>
      <c r="C1431" s="175">
        <f ca="1">IFERROR(VLOOKUP(B1431,T_Computo_Presupuesto,2,FALSE),0)</f>
        <v>0</v>
      </c>
      <c r="D1431" s="175"/>
      <c r="E1431" s="474"/>
      <c r="F1431" s="475"/>
      <c r="G1431" s="520"/>
    </row>
    <row r="1432" spans="1:7" ht="19.899999999999999" customHeight="1" x14ac:dyDescent="0.2">
      <c r="A1432" s="519" t="s">
        <v>22</v>
      </c>
      <c r="B1432" s="477" t="str">
        <f>IFERROR(VLOOKUP(COUNTIF($A$1:A1432,"ANALISIS DE PRECIOS"),T_NumeroItem,2,FALSE),"")</f>
        <v/>
      </c>
      <c r="C1432" s="719">
        <f ca="1">IFERROR(VLOOKUP(B1432,T_Computo_Presupuesto,2,FALSE),0)</f>
        <v>0</v>
      </c>
      <c r="D1432" s="719"/>
      <c r="E1432" s="719"/>
      <c r="F1432" s="472" t="s">
        <v>23</v>
      </c>
      <c r="G1432" s="521">
        <f ca="1">IFERROR(VLOOKUP(B1432,T_Computo_Presupuesto,4,FALSE),0)</f>
        <v>0</v>
      </c>
    </row>
    <row r="1433" spans="1:7" ht="19.899999999999999" customHeight="1" x14ac:dyDescent="0.2">
      <c r="A1433" s="519"/>
      <c r="B1433" s="472"/>
      <c r="C1433" s="175"/>
      <c r="D1433" s="473"/>
      <c r="E1433" s="474"/>
      <c r="F1433" s="175"/>
      <c r="G1433" s="522"/>
    </row>
    <row r="1434" spans="1:7" ht="19.899999999999999" customHeight="1" x14ac:dyDescent="0.2">
      <c r="A1434" s="523"/>
      <c r="B1434" s="478"/>
      <c r="C1434" s="479" t="s">
        <v>999</v>
      </c>
      <c r="D1434" s="478"/>
      <c r="E1434" s="478"/>
      <c r="F1434" s="478"/>
      <c r="G1434" s="524"/>
    </row>
    <row r="1435" spans="1:7" ht="19.899999999999999" customHeight="1" x14ac:dyDescent="0.2">
      <c r="A1435" s="519"/>
      <c r="B1435" s="480"/>
      <c r="C1435" s="175"/>
      <c r="D1435" s="473"/>
      <c r="E1435" s="474"/>
      <c r="F1435" s="472"/>
      <c r="G1435" s="521"/>
    </row>
    <row r="1436" spans="1:7" ht="19.899999999999999" customHeight="1" x14ac:dyDescent="0.2">
      <c r="A1436" s="519"/>
      <c r="B1436" s="480"/>
      <c r="C1436" s="481" t="s">
        <v>1000</v>
      </c>
      <c r="D1436" s="482" t="s">
        <v>24</v>
      </c>
      <c r="E1436" s="482" t="s">
        <v>1001</v>
      </c>
      <c r="F1436" s="482" t="s">
        <v>1002</v>
      </c>
      <c r="G1436" s="481" t="s">
        <v>1003</v>
      </c>
    </row>
    <row r="1437" spans="1:7"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x14ac:dyDescent="0.2">
      <c r="A1438" s="519"/>
      <c r="B1438" s="480"/>
      <c r="C1438" s="483"/>
      <c r="D1438" s="484"/>
      <c r="E1438" s="485">
        <f t="shared" si="323"/>
        <v>0</v>
      </c>
      <c r="F1438" s="486">
        <f t="shared" si="324"/>
        <v>0</v>
      </c>
      <c r="G1438" s="486">
        <f>ROUND(D1438*F1438,2)</f>
        <v>0</v>
      </c>
    </row>
    <row r="1439" spans="1:7" ht="19.899999999999999" customHeight="1" x14ac:dyDescent="0.2">
      <c r="A1439" s="519"/>
      <c r="B1439" s="480"/>
      <c r="C1439" s="483"/>
      <c r="D1439" s="484"/>
      <c r="E1439" s="485">
        <f t="shared" si="323"/>
        <v>0</v>
      </c>
      <c r="F1439" s="486">
        <f t="shared" si="324"/>
        <v>0</v>
      </c>
      <c r="G1439" s="486">
        <f>ROUND(D1439*F1439,2)</f>
        <v>0</v>
      </c>
    </row>
    <row r="1440" spans="1:7"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1004</v>
      </c>
      <c r="D1448" s="472" t="s">
        <v>1001</v>
      </c>
      <c r="E1448" s="538">
        <f>SUMPRODUCT(D1437:D1446,E1437:E1446)</f>
        <v>0</v>
      </c>
      <c r="F1448" s="472" t="s">
        <v>1005</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1006</v>
      </c>
      <c r="D1450" s="489">
        <f>IFERROR(VLOOKUP(COUNTIF($A$1:A1450,"ANALISIS DE PRECIOS"),T_Rendimiento_Equipo,5,FALSE),0)</f>
        <v>0</v>
      </c>
      <c r="E1450" s="490" t="str">
        <f ca="1">G1432&amp;"/día"</f>
        <v>0/día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06" t="s">
        <v>576</v>
      </c>
      <c r="B1452" s="707"/>
      <c r="C1452" s="708" t="s">
        <v>0</v>
      </c>
      <c r="D1452" s="720" t="s">
        <v>1866</v>
      </c>
      <c r="E1452" s="720" t="s">
        <v>1865</v>
      </c>
      <c r="F1452" s="712" t="s">
        <v>1007</v>
      </c>
      <c r="G1452" s="714" t="s">
        <v>26</v>
      </c>
    </row>
    <row r="1453" spans="1:7" ht="19.899999999999999" customHeight="1" x14ac:dyDescent="0.2">
      <c r="A1453" s="491" t="s">
        <v>577</v>
      </c>
      <c r="B1453" s="491" t="s">
        <v>578</v>
      </c>
      <c r="C1453" s="709"/>
      <c r="D1453" s="721"/>
      <c r="E1453" s="711"/>
      <c r="F1453" s="713"/>
      <c r="G1453" s="715"/>
    </row>
    <row r="1454" spans="1:7" ht="19.899999999999999" customHeight="1" x14ac:dyDescent="0.2">
      <c r="A1454" s="527"/>
      <c r="B1454" s="175"/>
      <c r="C1454" s="469" t="s">
        <v>1008</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27</v>
      </c>
      <c r="G1464" s="531">
        <f>SUBTOTAL(9,G1455:G1463)</f>
        <v>0</v>
      </c>
    </row>
    <row r="1465" spans="1:7" ht="19.899999999999999" customHeight="1" x14ac:dyDescent="0.2">
      <c r="A1465" s="527"/>
      <c r="B1465" s="175"/>
      <c r="C1465" s="469" t="s">
        <v>713</v>
      </c>
      <c r="D1465" s="473"/>
      <c r="E1465" s="474"/>
      <c r="F1465" s="475"/>
      <c r="G1465" s="528"/>
    </row>
    <row r="1466" spans="1:7" ht="19.899999999999999" customHeight="1" x14ac:dyDescent="0.2">
      <c r="A1466" s="706" t="s">
        <v>576</v>
      </c>
      <c r="B1466" s="707"/>
      <c r="C1466" s="708" t="s">
        <v>0</v>
      </c>
      <c r="D1466" s="710" t="s">
        <v>24</v>
      </c>
      <c r="E1466" s="710" t="s">
        <v>1832</v>
      </c>
      <c r="F1466" s="712" t="s">
        <v>1007</v>
      </c>
      <c r="G1466" s="714" t="s">
        <v>26</v>
      </c>
    </row>
    <row r="1467" spans="1:7" ht="19.899999999999999" customHeight="1" x14ac:dyDescent="0.2">
      <c r="A1467" s="491" t="s">
        <v>577</v>
      </c>
      <c r="B1467" s="491" t="s">
        <v>578</v>
      </c>
      <c r="C1467" s="709"/>
      <c r="D1467" s="711"/>
      <c r="E1467" s="711"/>
      <c r="F1467" s="713"/>
      <c r="G1467" s="715"/>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28</v>
      </c>
      <c r="G1475" s="532">
        <f>SUBTOTAL(9,G1468:G1474)</f>
        <v>0</v>
      </c>
    </row>
    <row r="1476" spans="1:7" ht="19.899999999999999" customHeight="1" x14ac:dyDescent="0.2">
      <c r="A1476" s="527"/>
      <c r="B1476" s="175"/>
      <c r="C1476" s="469" t="s">
        <v>1014</v>
      </c>
      <c r="D1476" s="473"/>
      <c r="E1476" s="474"/>
      <c r="F1476" s="475"/>
      <c r="G1476" s="528"/>
    </row>
    <row r="1477" spans="1:7" ht="19.899999999999999" customHeight="1" x14ac:dyDescent="0.2">
      <c r="A1477" s="706" t="s">
        <v>576</v>
      </c>
      <c r="B1477" s="707"/>
      <c r="C1477" s="708" t="s">
        <v>0</v>
      </c>
      <c r="D1477" s="708" t="s">
        <v>1867</v>
      </c>
      <c r="E1477" s="710" t="s">
        <v>24</v>
      </c>
      <c r="F1477" s="712" t="s">
        <v>25</v>
      </c>
      <c r="G1477" s="714" t="s">
        <v>26</v>
      </c>
    </row>
    <row r="1478" spans="1:7" ht="19.899999999999999" customHeight="1" x14ac:dyDescent="0.2">
      <c r="A1478" s="491" t="s">
        <v>577</v>
      </c>
      <c r="B1478" s="491" t="s">
        <v>578</v>
      </c>
      <c r="C1478" s="709"/>
      <c r="D1478" s="709"/>
      <c r="E1478" s="711"/>
      <c r="F1478" s="713"/>
      <c r="G1478" s="715"/>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8"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8" ht="19.899999999999999" customHeight="1" x14ac:dyDescent="0.2">
      <c r="A1490" s="527"/>
      <c r="B1490" s="175"/>
      <c r="C1490" s="175"/>
      <c r="D1490" s="473"/>
      <c r="E1490" s="474"/>
      <c r="F1490" s="495" t="s">
        <v>29</v>
      </c>
      <c r="G1490" s="532">
        <f>SUBTOTAL(9,G1479:G1489)</f>
        <v>0</v>
      </c>
    </row>
    <row r="1491" spans="1:8" ht="19.899999999999999" customHeight="1" x14ac:dyDescent="0.2">
      <c r="A1491" s="527"/>
      <c r="B1491" s="175"/>
      <c r="C1491" s="469" t="s">
        <v>1015</v>
      </c>
      <c r="D1491" s="473"/>
      <c r="E1491" s="474"/>
      <c r="F1491" s="475"/>
      <c r="G1491" s="528"/>
    </row>
    <row r="1492" spans="1:8" ht="19.899999999999999" customHeight="1" x14ac:dyDescent="0.2">
      <c r="A1492" s="706" t="s">
        <v>576</v>
      </c>
      <c r="B1492" s="707"/>
      <c r="C1492" s="708" t="s">
        <v>0</v>
      </c>
      <c r="D1492" s="708" t="s">
        <v>1867</v>
      </c>
      <c r="E1492" s="710" t="s">
        <v>24</v>
      </c>
      <c r="F1492" s="712" t="s">
        <v>25</v>
      </c>
      <c r="G1492" s="714" t="s">
        <v>26</v>
      </c>
    </row>
    <row r="1493" spans="1:8" ht="19.899999999999999" customHeight="1" x14ac:dyDescent="0.2">
      <c r="A1493" s="491" t="s">
        <v>577</v>
      </c>
      <c r="B1493" s="491" t="s">
        <v>578</v>
      </c>
      <c r="C1493" s="709"/>
      <c r="D1493" s="709"/>
      <c r="E1493" s="711"/>
      <c r="F1493" s="713"/>
      <c r="G1493" s="715"/>
    </row>
    <row r="1494" spans="1:8"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x14ac:dyDescent="0.2">
      <c r="A1496" s="527"/>
      <c r="B1496" s="175"/>
      <c r="C1496" s="175"/>
      <c r="D1496" s="473"/>
      <c r="E1496" s="474"/>
      <c r="F1496" s="495" t="s">
        <v>1016</v>
      </c>
      <c r="G1496" s="532">
        <f>SUBTOTAL(9,G1494:G1495)</f>
        <v>0</v>
      </c>
    </row>
    <row r="1497" spans="1:8" ht="19.899999999999999" customHeight="1" x14ac:dyDescent="0.2">
      <c r="A1497" s="530"/>
      <c r="B1497" s="473"/>
      <c r="C1497" s="175"/>
      <c r="D1497" s="473"/>
      <c r="E1497" s="474"/>
      <c r="F1497" s="475"/>
      <c r="G1497" s="528"/>
    </row>
    <row r="1498" spans="1:8" ht="19.899999999999999" customHeight="1" x14ac:dyDescent="0.2">
      <c r="A1498" s="588" t="str">
        <f>B1432</f>
        <v/>
      </c>
      <c r="B1498" s="585">
        <f ca="1">C1432</f>
        <v>0</v>
      </c>
      <c r="C1498" s="473"/>
      <c r="D1498" s="473" t="s">
        <v>1833</v>
      </c>
      <c r="E1498" s="586"/>
      <c r="F1498" s="587" t="str">
        <f ca="1">"$/"&amp;G1432</f>
        <v>$/0</v>
      </c>
      <c r="G1498" s="537">
        <f>SUBTOTAL(9,G1455:G1497)</f>
        <v>0</v>
      </c>
    </row>
    <row r="1499" spans="1:8" ht="19.899999999999999" customHeight="1" x14ac:dyDescent="0.2">
      <c r="A1499" s="533"/>
      <c r="B1499" s="534"/>
      <c r="C1499" s="535"/>
      <c r="D1499" s="535" t="s">
        <v>2043</v>
      </c>
      <c r="E1499" s="536"/>
      <c r="F1499" s="589" t="str">
        <f ca="1">"$/"&amp;G1432</f>
        <v>$/0</v>
      </c>
      <c r="G1499" s="537">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16" t="s">
        <v>31</v>
      </c>
      <c r="B1501" s="717"/>
      <c r="C1501" s="717"/>
      <c r="D1501" s="717"/>
      <c r="E1501" s="717"/>
      <c r="F1501" s="717"/>
      <c r="G1501" s="718"/>
      <c r="H1501" s="65"/>
    </row>
    <row r="1502" spans="1:8" ht="19.899999999999999" customHeight="1" x14ac:dyDescent="0.2">
      <c r="A1502" s="516" t="s">
        <v>711</v>
      </c>
      <c r="B1502" s="467" t="str">
        <f>Comitente</f>
        <v>DIRECCIÓN PROVINCIAL DE VIALIDAD</v>
      </c>
      <c r="C1502" s="468"/>
      <c r="D1502" s="469"/>
      <c r="E1502" s="469"/>
      <c r="F1502" s="470"/>
      <c r="G1502" s="517"/>
      <c r="H1502" s="65"/>
    </row>
    <row r="1503" spans="1:8" ht="19.899999999999999" customHeight="1" x14ac:dyDescent="0.2">
      <c r="A1503" s="516" t="s">
        <v>712</v>
      </c>
      <c r="B1503" s="467">
        <f>Contratista</f>
        <v>0</v>
      </c>
      <c r="C1503" s="471"/>
      <c r="D1503" s="471"/>
      <c r="E1503" s="471"/>
      <c r="F1503" s="467"/>
      <c r="G1503" s="518"/>
      <c r="H1503" s="65"/>
    </row>
    <row r="1504" spans="1:8" ht="19.899999999999999" customHeight="1" x14ac:dyDescent="0.2">
      <c r="A1504" s="516" t="s">
        <v>21</v>
      </c>
      <c r="B1504" s="467" t="str">
        <f>Obra</f>
        <v>OBRA BÁSICA Y PAVIMENTACIÓN CALLE GÜEMES</v>
      </c>
      <c r="C1504" s="471"/>
      <c r="D1504" s="471"/>
      <c r="E1504" s="471"/>
      <c r="F1504" s="467" t="s">
        <v>32</v>
      </c>
      <c r="G1504" s="518">
        <f>Fecha_Base</f>
        <v>0</v>
      </c>
      <c r="H1504" s="65"/>
    </row>
    <row r="1505" spans="1:8" ht="19.899999999999999" customHeight="1" x14ac:dyDescent="0.2">
      <c r="A1505" s="519" t="s">
        <v>710</v>
      </c>
      <c r="B1505" s="472" t="str">
        <f>Ubicación</f>
        <v>Rawson - Santa Lucia</v>
      </c>
      <c r="C1505" s="472"/>
      <c r="D1505" s="473"/>
      <c r="E1505" s="474"/>
      <c r="F1505" s="475"/>
      <c r="G1505" s="520"/>
      <c r="H1505" s="65"/>
    </row>
    <row r="1506" spans="1:8" ht="19.899999999999999" customHeight="1" x14ac:dyDescent="0.2">
      <c r="A1506" s="519" t="s">
        <v>33</v>
      </c>
      <c r="B1506" s="476" t="str">
        <f>IFERROR(VALUE(LEFT(B1507,FIND(".",B1507)-1)),"")</f>
        <v/>
      </c>
      <c r="C1506" s="175">
        <f ca="1">IFERROR(VLOOKUP(B1506,T_Computo_Presupuesto,2,FALSE),0)</f>
        <v>0</v>
      </c>
      <c r="D1506" s="175"/>
      <c r="E1506" s="474"/>
      <c r="F1506" s="475"/>
      <c r="G1506" s="520"/>
      <c r="H1506" s="65"/>
    </row>
    <row r="1507" spans="1:8" ht="19.899999999999999" customHeight="1" x14ac:dyDescent="0.2">
      <c r="A1507" s="519" t="s">
        <v>22</v>
      </c>
      <c r="B1507" s="477" t="str">
        <f>IFERROR(VLOOKUP(COUNTIF($A$1:A1507,"ANALISIS DE PRECIOS"),T_NumeroItem,2,FALSE),"")</f>
        <v/>
      </c>
      <c r="C1507" s="719">
        <f ca="1">IFERROR(VLOOKUP(B1507,T_Computo_Presupuesto,2,FALSE),0)</f>
        <v>0</v>
      </c>
      <c r="D1507" s="719"/>
      <c r="E1507" s="719"/>
      <c r="F1507" s="472" t="s">
        <v>23</v>
      </c>
      <c r="G1507" s="521">
        <f ca="1">IFERROR(VLOOKUP(B1507,T_Computo_Presupuesto,4,FALSE),0)</f>
        <v>0</v>
      </c>
      <c r="H1507" s="65"/>
    </row>
    <row r="1508" spans="1:8" ht="19.899999999999999" customHeight="1" x14ac:dyDescent="0.2">
      <c r="A1508" s="519"/>
      <c r="B1508" s="472"/>
      <c r="C1508" s="175"/>
      <c r="D1508" s="473"/>
      <c r="E1508" s="474"/>
      <c r="F1508" s="175"/>
      <c r="G1508" s="522"/>
      <c r="H1508" s="65"/>
    </row>
    <row r="1509" spans="1:8" ht="19.899999999999999" customHeight="1" x14ac:dyDescent="0.2">
      <c r="A1509" s="523"/>
      <c r="B1509" s="478"/>
      <c r="C1509" s="479" t="s">
        <v>999</v>
      </c>
      <c r="D1509" s="478"/>
      <c r="E1509" s="478"/>
      <c r="F1509" s="478"/>
      <c r="G1509" s="524"/>
      <c r="H1509" s="65"/>
    </row>
    <row r="1510" spans="1:8" ht="19.899999999999999" customHeight="1" x14ac:dyDescent="0.2">
      <c r="A1510" s="519"/>
      <c r="B1510" s="480"/>
      <c r="C1510" s="175"/>
      <c r="D1510" s="473"/>
      <c r="E1510" s="474"/>
      <c r="F1510" s="472"/>
      <c r="G1510" s="521"/>
      <c r="H1510" s="65"/>
    </row>
    <row r="1511" spans="1:8" ht="19.899999999999999" customHeight="1" x14ac:dyDescent="0.2">
      <c r="A1511" s="519"/>
      <c r="B1511" s="480"/>
      <c r="C1511" s="481" t="s">
        <v>1000</v>
      </c>
      <c r="D1511" s="482" t="s">
        <v>24</v>
      </c>
      <c r="E1511" s="482" t="s">
        <v>1001</v>
      </c>
      <c r="F1511" s="482" t="s">
        <v>1002</v>
      </c>
      <c r="G1511" s="481" t="s">
        <v>1003</v>
      </c>
    </row>
    <row r="1512" spans="1:8"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x14ac:dyDescent="0.2">
      <c r="A1513" s="519"/>
      <c r="B1513" s="480"/>
      <c r="C1513" s="483"/>
      <c r="D1513" s="484"/>
      <c r="E1513" s="485">
        <f t="shared" si="340"/>
        <v>0</v>
      </c>
      <c r="F1513" s="486">
        <f t="shared" si="341"/>
        <v>0</v>
      </c>
      <c r="G1513" s="486">
        <f>ROUND(D1513*F1513,2)</f>
        <v>0</v>
      </c>
    </row>
    <row r="1514" spans="1:8" ht="19.899999999999999" customHeight="1" x14ac:dyDescent="0.2">
      <c r="A1514" s="519"/>
      <c r="B1514" s="480"/>
      <c r="C1514" s="483"/>
      <c r="D1514" s="484"/>
      <c r="E1514" s="485">
        <f t="shared" si="340"/>
        <v>0</v>
      </c>
      <c r="F1514" s="486">
        <f t="shared" si="341"/>
        <v>0</v>
      </c>
      <c r="G1514" s="486">
        <f>ROUND(D1514*F1514,2)</f>
        <v>0</v>
      </c>
    </row>
    <row r="1515" spans="1:8" ht="19.899999999999999" customHeight="1" x14ac:dyDescent="0.2">
      <c r="A1515" s="519"/>
      <c r="B1515" s="480"/>
      <c r="C1515" s="483"/>
      <c r="D1515" s="484"/>
      <c r="E1515" s="485">
        <f t="shared" si="340"/>
        <v>0</v>
      </c>
      <c r="F1515" s="486">
        <f t="shared" si="341"/>
        <v>0</v>
      </c>
      <c r="G1515" s="486">
        <f>ROUND(D1515*F1515,2)</f>
        <v>0</v>
      </c>
    </row>
    <row r="1516" spans="1:8" ht="19.899999999999999" customHeight="1" x14ac:dyDescent="0.2">
      <c r="A1516" s="519"/>
      <c r="B1516" s="480"/>
      <c r="C1516" s="483"/>
      <c r="D1516" s="484"/>
      <c r="E1516" s="485">
        <f t="shared" si="340"/>
        <v>0</v>
      </c>
      <c r="F1516" s="486">
        <f t="shared" si="341"/>
        <v>0</v>
      </c>
      <c r="G1516" s="486">
        <f t="shared" ref="G1516:G1521" si="342">ROUND(D1516*F1516,2)</f>
        <v>0</v>
      </c>
    </row>
    <row r="1517" spans="1:8" ht="19.899999999999999" customHeight="1" x14ac:dyDescent="0.2">
      <c r="A1517" s="519"/>
      <c r="B1517" s="480"/>
      <c r="C1517" s="483"/>
      <c r="D1517" s="484"/>
      <c r="E1517" s="485">
        <f t="shared" si="340"/>
        <v>0</v>
      </c>
      <c r="F1517" s="486">
        <f t="shared" si="341"/>
        <v>0</v>
      </c>
      <c r="G1517" s="486">
        <f t="shared" si="342"/>
        <v>0</v>
      </c>
    </row>
    <row r="1518" spans="1:8" ht="19.899999999999999" customHeight="1" x14ac:dyDescent="0.2">
      <c r="A1518" s="519"/>
      <c r="B1518" s="480"/>
      <c r="C1518" s="483"/>
      <c r="D1518" s="484"/>
      <c r="E1518" s="485">
        <f t="shared" si="340"/>
        <v>0</v>
      </c>
      <c r="F1518" s="486">
        <f t="shared" si="341"/>
        <v>0</v>
      </c>
      <c r="G1518" s="486">
        <f t="shared" si="342"/>
        <v>0</v>
      </c>
    </row>
    <row r="1519" spans="1:8" ht="19.899999999999999" customHeight="1" x14ac:dyDescent="0.2">
      <c r="A1519" s="519"/>
      <c r="B1519" s="480"/>
      <c r="C1519" s="483"/>
      <c r="D1519" s="484"/>
      <c r="E1519" s="485">
        <f t="shared" si="340"/>
        <v>0</v>
      </c>
      <c r="F1519" s="486">
        <f t="shared" si="341"/>
        <v>0</v>
      </c>
      <c r="G1519" s="486">
        <f t="shared" si="342"/>
        <v>0</v>
      </c>
    </row>
    <row r="1520" spans="1:8"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1004</v>
      </c>
      <c r="D1523" s="472" t="s">
        <v>1001</v>
      </c>
      <c r="E1523" s="538">
        <f>SUMPRODUCT(D1512:D1521,E1512:E1521)</f>
        <v>0</v>
      </c>
      <c r="F1523" s="472" t="s">
        <v>1005</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1006</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06" t="s">
        <v>576</v>
      </c>
      <c r="B1527" s="707"/>
      <c r="C1527" s="708" t="s">
        <v>0</v>
      </c>
      <c r="D1527" s="720" t="s">
        <v>1866</v>
      </c>
      <c r="E1527" s="720" t="s">
        <v>1865</v>
      </c>
      <c r="F1527" s="712" t="s">
        <v>1007</v>
      </c>
      <c r="G1527" s="714" t="s">
        <v>26</v>
      </c>
    </row>
    <row r="1528" spans="1:7" ht="19.899999999999999" customHeight="1" x14ac:dyDescent="0.2">
      <c r="A1528" s="491" t="s">
        <v>577</v>
      </c>
      <c r="B1528" s="491" t="s">
        <v>578</v>
      </c>
      <c r="C1528" s="709"/>
      <c r="D1528" s="721"/>
      <c r="E1528" s="711"/>
      <c r="F1528" s="713"/>
      <c r="G1528" s="715"/>
    </row>
    <row r="1529" spans="1:7" ht="19.899999999999999" customHeight="1" x14ac:dyDescent="0.2">
      <c r="A1529" s="527"/>
      <c r="B1529" s="175"/>
      <c r="C1529" s="469" t="s">
        <v>1008</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27</v>
      </c>
      <c r="G1539" s="531">
        <f>SUBTOTAL(9,G1530:G1538)</f>
        <v>0</v>
      </c>
    </row>
    <row r="1540" spans="1:7" ht="19.899999999999999" customHeight="1" x14ac:dyDescent="0.2">
      <c r="A1540" s="527"/>
      <c r="B1540" s="175"/>
      <c r="C1540" s="469" t="s">
        <v>713</v>
      </c>
      <c r="D1540" s="473"/>
      <c r="E1540" s="474"/>
      <c r="F1540" s="475"/>
      <c r="G1540" s="528"/>
    </row>
    <row r="1541" spans="1:7" ht="19.899999999999999" customHeight="1" x14ac:dyDescent="0.2">
      <c r="A1541" s="706" t="s">
        <v>576</v>
      </c>
      <c r="B1541" s="707"/>
      <c r="C1541" s="708" t="s">
        <v>0</v>
      </c>
      <c r="D1541" s="710" t="s">
        <v>24</v>
      </c>
      <c r="E1541" s="710" t="s">
        <v>1832</v>
      </c>
      <c r="F1541" s="712" t="s">
        <v>1007</v>
      </c>
      <c r="G1541" s="714" t="s">
        <v>26</v>
      </c>
    </row>
    <row r="1542" spans="1:7" ht="19.899999999999999" customHeight="1" x14ac:dyDescent="0.2">
      <c r="A1542" s="491" t="s">
        <v>577</v>
      </c>
      <c r="B1542" s="491" t="s">
        <v>578</v>
      </c>
      <c r="C1542" s="709"/>
      <c r="D1542" s="711"/>
      <c r="E1542" s="711"/>
      <c r="F1542" s="713"/>
      <c r="G1542" s="715"/>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28</v>
      </c>
      <c r="G1550" s="532">
        <f>SUBTOTAL(9,G1543:G1549)</f>
        <v>0</v>
      </c>
    </row>
    <row r="1551" spans="1:7" ht="19.899999999999999" customHeight="1" x14ac:dyDescent="0.2">
      <c r="A1551" s="527"/>
      <c r="B1551" s="175"/>
      <c r="C1551" s="469" t="s">
        <v>1014</v>
      </c>
      <c r="D1551" s="473"/>
      <c r="E1551" s="474"/>
      <c r="F1551" s="475"/>
      <c r="G1551" s="528"/>
    </row>
    <row r="1552" spans="1:7" ht="19.899999999999999" customHeight="1" x14ac:dyDescent="0.2">
      <c r="A1552" s="706" t="s">
        <v>576</v>
      </c>
      <c r="B1552" s="707"/>
      <c r="C1552" s="708" t="s">
        <v>0</v>
      </c>
      <c r="D1552" s="708" t="s">
        <v>1867</v>
      </c>
      <c r="E1552" s="710" t="s">
        <v>24</v>
      </c>
      <c r="F1552" s="712" t="s">
        <v>25</v>
      </c>
      <c r="G1552" s="714" t="s">
        <v>26</v>
      </c>
    </row>
    <row r="1553" spans="1:7" ht="19.899999999999999" customHeight="1" x14ac:dyDescent="0.2">
      <c r="A1553" s="491" t="s">
        <v>577</v>
      </c>
      <c r="B1553" s="491" t="s">
        <v>578</v>
      </c>
      <c r="C1553" s="709"/>
      <c r="D1553" s="709"/>
      <c r="E1553" s="711"/>
      <c r="F1553" s="713"/>
      <c r="G1553" s="715"/>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29</v>
      </c>
      <c r="G1565" s="532">
        <f>SUBTOTAL(9,G1554:G1564)</f>
        <v>0</v>
      </c>
    </row>
    <row r="1566" spans="1:7" ht="19.899999999999999" customHeight="1" x14ac:dyDescent="0.2">
      <c r="A1566" s="527"/>
      <c r="B1566" s="175"/>
      <c r="C1566" s="469" t="s">
        <v>1015</v>
      </c>
      <c r="D1566" s="473"/>
      <c r="E1566" s="474"/>
      <c r="F1566" s="475"/>
      <c r="G1566" s="528"/>
    </row>
    <row r="1567" spans="1:7" ht="19.899999999999999" customHeight="1" x14ac:dyDescent="0.2">
      <c r="A1567" s="706" t="s">
        <v>576</v>
      </c>
      <c r="B1567" s="707"/>
      <c r="C1567" s="708" t="s">
        <v>0</v>
      </c>
      <c r="D1567" s="708" t="s">
        <v>1867</v>
      </c>
      <c r="E1567" s="710" t="s">
        <v>24</v>
      </c>
      <c r="F1567" s="712" t="s">
        <v>25</v>
      </c>
      <c r="G1567" s="714" t="s">
        <v>26</v>
      </c>
    </row>
    <row r="1568" spans="1:7" ht="19.899999999999999" customHeight="1" x14ac:dyDescent="0.2">
      <c r="A1568" s="491" t="s">
        <v>577</v>
      </c>
      <c r="B1568" s="491" t="s">
        <v>578</v>
      </c>
      <c r="C1568" s="709"/>
      <c r="D1568" s="709"/>
      <c r="E1568" s="711"/>
      <c r="F1568" s="713"/>
      <c r="G1568" s="715"/>
    </row>
    <row r="1569" spans="1:8"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x14ac:dyDescent="0.2">
      <c r="A1571" s="527"/>
      <c r="B1571" s="175"/>
      <c r="C1571" s="175"/>
      <c r="D1571" s="473"/>
      <c r="E1571" s="474"/>
      <c r="F1571" s="495" t="s">
        <v>1016</v>
      </c>
      <c r="G1571" s="532">
        <f>SUBTOTAL(9,G1569:G1570)</f>
        <v>0</v>
      </c>
      <c r="H1571" s="65"/>
    </row>
    <row r="1572" spans="1:8" ht="19.899999999999999" customHeight="1" x14ac:dyDescent="0.2">
      <c r="A1572" s="530"/>
      <c r="B1572" s="473"/>
      <c r="C1572" s="175"/>
      <c r="D1572" s="473"/>
      <c r="E1572" s="474"/>
      <c r="F1572" s="475"/>
      <c r="G1572" s="528"/>
      <c r="H1572" s="65"/>
    </row>
    <row r="1573" spans="1:8" ht="19.899999999999999" customHeight="1" x14ac:dyDescent="0.2">
      <c r="A1573" s="588" t="str">
        <f>B1507</f>
        <v/>
      </c>
      <c r="B1573" s="585">
        <f ca="1">C1507</f>
        <v>0</v>
      </c>
      <c r="C1573" s="473"/>
      <c r="D1573" s="473" t="s">
        <v>1833</v>
      </c>
      <c r="E1573" s="586"/>
      <c r="F1573" s="587" t="str">
        <f ca="1">"$/"&amp;G1507</f>
        <v>$/0</v>
      </c>
      <c r="G1573" s="537">
        <f>SUBTOTAL(9,G1530:G1572)</f>
        <v>0</v>
      </c>
      <c r="H1573" s="65"/>
    </row>
    <row r="1574" spans="1:8" ht="19.899999999999999" customHeight="1" x14ac:dyDescent="0.2">
      <c r="A1574" s="533"/>
      <c r="B1574" s="534"/>
      <c r="C1574" s="535"/>
      <c r="D1574" s="535" t="s">
        <v>2043</v>
      </c>
      <c r="E1574" s="536"/>
      <c r="F1574" s="589" t="str">
        <f ca="1">"$/"&amp;G1507</f>
        <v>$/0</v>
      </c>
      <c r="G1574" s="537">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16" t="s">
        <v>31</v>
      </c>
      <c r="B1576" s="717"/>
      <c r="C1576" s="717"/>
      <c r="D1576" s="717"/>
      <c r="E1576" s="717"/>
      <c r="F1576" s="717"/>
      <c r="G1576" s="718"/>
    </row>
    <row r="1577" spans="1:8" ht="19.899999999999999" customHeight="1" x14ac:dyDescent="0.2">
      <c r="A1577" s="516" t="s">
        <v>711</v>
      </c>
      <c r="B1577" s="467" t="str">
        <f>Comitente</f>
        <v>DIRECCIÓN PROVINCIAL DE VIALIDAD</v>
      </c>
      <c r="C1577" s="468"/>
      <c r="D1577" s="469"/>
      <c r="E1577" s="469"/>
      <c r="F1577" s="470"/>
      <c r="G1577" s="517"/>
    </row>
    <row r="1578" spans="1:8" ht="19.899999999999999" customHeight="1" x14ac:dyDescent="0.2">
      <c r="A1578" s="516" t="s">
        <v>712</v>
      </c>
      <c r="B1578" s="467">
        <f>Contratista</f>
        <v>0</v>
      </c>
      <c r="C1578" s="471"/>
      <c r="D1578" s="471"/>
      <c r="E1578" s="471"/>
      <c r="F1578" s="467"/>
      <c r="G1578" s="518"/>
    </row>
    <row r="1579" spans="1:8" ht="19.899999999999999" customHeight="1" x14ac:dyDescent="0.2">
      <c r="A1579" s="516" t="s">
        <v>21</v>
      </c>
      <c r="B1579" s="467" t="str">
        <f>Obra</f>
        <v>OBRA BÁSICA Y PAVIMENTACIÓN CALLE GÜEMES</v>
      </c>
      <c r="C1579" s="471"/>
      <c r="D1579" s="471"/>
      <c r="E1579" s="471"/>
      <c r="F1579" s="467" t="s">
        <v>32</v>
      </c>
      <c r="G1579" s="518">
        <f>Fecha_Base</f>
        <v>0</v>
      </c>
    </row>
    <row r="1580" spans="1:8" ht="19.899999999999999" customHeight="1" x14ac:dyDescent="0.2">
      <c r="A1580" s="519" t="s">
        <v>710</v>
      </c>
      <c r="B1580" s="472" t="str">
        <f>Ubicación</f>
        <v>Rawson - Santa Lucia</v>
      </c>
      <c r="C1580" s="472"/>
      <c r="D1580" s="473"/>
      <c r="E1580" s="474"/>
      <c r="F1580" s="475"/>
      <c r="G1580" s="520"/>
    </row>
    <row r="1581" spans="1:8" ht="19.899999999999999" customHeight="1" x14ac:dyDescent="0.2">
      <c r="A1581" s="519" t="s">
        <v>33</v>
      </c>
      <c r="B1581" s="476" t="str">
        <f>IFERROR(VALUE(LEFT(B1582,FIND(".",B1582)-1)),"")</f>
        <v/>
      </c>
      <c r="C1581" s="175">
        <f ca="1">IFERROR(VLOOKUP(B1581,T_Computo_Presupuesto,2,FALSE),0)</f>
        <v>0</v>
      </c>
      <c r="D1581" s="175"/>
      <c r="E1581" s="474"/>
      <c r="F1581" s="475"/>
      <c r="G1581" s="520"/>
    </row>
    <row r="1582" spans="1:8" ht="19.899999999999999" customHeight="1" x14ac:dyDescent="0.2">
      <c r="A1582" s="519" t="s">
        <v>22</v>
      </c>
      <c r="B1582" s="477" t="str">
        <f>IFERROR(VLOOKUP(COUNTIF($A$1:A1582,"ANALISIS DE PRECIOS"),T_NumeroItem,2,FALSE),"")</f>
        <v/>
      </c>
      <c r="C1582" s="719">
        <f ca="1">IFERROR(VLOOKUP(B1582,T_Computo_Presupuesto,2,FALSE),0)</f>
        <v>0</v>
      </c>
      <c r="D1582" s="719"/>
      <c r="E1582" s="719"/>
      <c r="F1582" s="472" t="s">
        <v>23</v>
      </c>
      <c r="G1582" s="521">
        <f ca="1">IFERROR(VLOOKUP(B1582,T_Computo_Presupuesto,4,FALSE),0)</f>
        <v>0</v>
      </c>
    </row>
    <row r="1583" spans="1:8" ht="19.899999999999999" customHeight="1" x14ac:dyDescent="0.2">
      <c r="A1583" s="519"/>
      <c r="B1583" s="472"/>
      <c r="C1583" s="175"/>
      <c r="D1583" s="473"/>
      <c r="E1583" s="474"/>
      <c r="F1583" s="175"/>
      <c r="G1583" s="522"/>
    </row>
    <row r="1584" spans="1:8" ht="19.899999999999999" customHeight="1" x14ac:dyDescent="0.2">
      <c r="A1584" s="523"/>
      <c r="B1584" s="478"/>
      <c r="C1584" s="479" t="s">
        <v>999</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1000</v>
      </c>
      <c r="D1586" s="482" t="s">
        <v>24</v>
      </c>
      <c r="E1586" s="482" t="s">
        <v>1001</v>
      </c>
      <c r="F1586" s="482" t="s">
        <v>1002</v>
      </c>
      <c r="G1586" s="481" t="s">
        <v>1003</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1004</v>
      </c>
      <c r="D1598" s="472" t="s">
        <v>1001</v>
      </c>
      <c r="E1598" s="538">
        <f>SUMPRODUCT(D1587:D1596,E1587:E1596)</f>
        <v>0</v>
      </c>
      <c r="F1598" s="472" t="s">
        <v>1005</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1006</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06" t="s">
        <v>576</v>
      </c>
      <c r="B1602" s="707"/>
      <c r="C1602" s="708" t="s">
        <v>0</v>
      </c>
      <c r="D1602" s="720" t="s">
        <v>1866</v>
      </c>
      <c r="E1602" s="720" t="s">
        <v>1865</v>
      </c>
      <c r="F1602" s="712" t="s">
        <v>1007</v>
      </c>
      <c r="G1602" s="714" t="s">
        <v>26</v>
      </c>
    </row>
    <row r="1603" spans="1:7" ht="19.899999999999999" customHeight="1" x14ac:dyDescent="0.2">
      <c r="A1603" s="491" t="s">
        <v>577</v>
      </c>
      <c r="B1603" s="491" t="s">
        <v>578</v>
      </c>
      <c r="C1603" s="709"/>
      <c r="D1603" s="721"/>
      <c r="E1603" s="711"/>
      <c r="F1603" s="713"/>
      <c r="G1603" s="715"/>
    </row>
    <row r="1604" spans="1:7" ht="19.899999999999999" customHeight="1" x14ac:dyDescent="0.2">
      <c r="A1604" s="527"/>
      <c r="B1604" s="175"/>
      <c r="C1604" s="469" t="s">
        <v>1008</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27</v>
      </c>
      <c r="G1614" s="531">
        <f>SUBTOTAL(9,G1605:G1613)</f>
        <v>0</v>
      </c>
    </row>
    <row r="1615" spans="1:7" ht="19.899999999999999" customHeight="1" x14ac:dyDescent="0.2">
      <c r="A1615" s="527"/>
      <c r="B1615" s="175"/>
      <c r="C1615" s="469" t="s">
        <v>713</v>
      </c>
      <c r="D1615" s="473"/>
      <c r="E1615" s="474"/>
      <c r="F1615" s="475"/>
      <c r="G1615" s="528"/>
    </row>
    <row r="1616" spans="1:7" ht="19.899999999999999" customHeight="1" x14ac:dyDescent="0.2">
      <c r="A1616" s="706" t="s">
        <v>576</v>
      </c>
      <c r="B1616" s="707"/>
      <c r="C1616" s="708" t="s">
        <v>0</v>
      </c>
      <c r="D1616" s="710" t="s">
        <v>24</v>
      </c>
      <c r="E1616" s="710" t="s">
        <v>1832</v>
      </c>
      <c r="F1616" s="712" t="s">
        <v>1007</v>
      </c>
      <c r="G1616" s="714" t="s">
        <v>26</v>
      </c>
    </row>
    <row r="1617" spans="1:7" ht="19.899999999999999" customHeight="1" x14ac:dyDescent="0.2">
      <c r="A1617" s="491" t="s">
        <v>577</v>
      </c>
      <c r="B1617" s="491" t="s">
        <v>578</v>
      </c>
      <c r="C1617" s="709"/>
      <c r="D1617" s="711"/>
      <c r="E1617" s="711"/>
      <c r="F1617" s="713"/>
      <c r="G1617" s="715"/>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28</v>
      </c>
      <c r="G1625" s="532">
        <f>SUBTOTAL(9,G1618:G1624)</f>
        <v>0</v>
      </c>
    </row>
    <row r="1626" spans="1:7" ht="19.899999999999999" customHeight="1" x14ac:dyDescent="0.2">
      <c r="A1626" s="527"/>
      <c r="B1626" s="175"/>
      <c r="C1626" s="469" t="s">
        <v>1014</v>
      </c>
      <c r="D1626" s="473"/>
      <c r="E1626" s="474"/>
      <c r="F1626" s="475"/>
      <c r="G1626" s="528"/>
    </row>
    <row r="1627" spans="1:7" ht="19.899999999999999" customHeight="1" x14ac:dyDescent="0.2">
      <c r="A1627" s="706" t="s">
        <v>576</v>
      </c>
      <c r="B1627" s="707"/>
      <c r="C1627" s="708" t="s">
        <v>0</v>
      </c>
      <c r="D1627" s="708" t="s">
        <v>1867</v>
      </c>
      <c r="E1627" s="710" t="s">
        <v>24</v>
      </c>
      <c r="F1627" s="712" t="s">
        <v>25</v>
      </c>
      <c r="G1627" s="714" t="s">
        <v>26</v>
      </c>
    </row>
    <row r="1628" spans="1:7" ht="19.899999999999999" customHeight="1" x14ac:dyDescent="0.2">
      <c r="A1628" s="491" t="s">
        <v>577</v>
      </c>
      <c r="B1628" s="491" t="s">
        <v>578</v>
      </c>
      <c r="C1628" s="709"/>
      <c r="D1628" s="709"/>
      <c r="E1628" s="711"/>
      <c r="F1628" s="713"/>
      <c r="G1628" s="715"/>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29</v>
      </c>
      <c r="G1640" s="532">
        <f>SUBTOTAL(9,G1629:G1639)</f>
        <v>0</v>
      </c>
    </row>
    <row r="1641" spans="1:7" ht="19.899999999999999" customHeight="1" x14ac:dyDescent="0.2">
      <c r="A1641" s="527"/>
      <c r="B1641" s="175"/>
      <c r="C1641" s="469" t="s">
        <v>1015</v>
      </c>
      <c r="D1641" s="473"/>
      <c r="E1641" s="474"/>
      <c r="F1641" s="475"/>
      <c r="G1641" s="528"/>
    </row>
    <row r="1642" spans="1:7" ht="19.899999999999999" customHeight="1" x14ac:dyDescent="0.2">
      <c r="A1642" s="706" t="s">
        <v>576</v>
      </c>
      <c r="B1642" s="707"/>
      <c r="C1642" s="708" t="s">
        <v>0</v>
      </c>
      <c r="D1642" s="708" t="s">
        <v>1867</v>
      </c>
      <c r="E1642" s="710" t="s">
        <v>24</v>
      </c>
      <c r="F1642" s="712" t="s">
        <v>25</v>
      </c>
      <c r="G1642" s="714" t="s">
        <v>26</v>
      </c>
    </row>
    <row r="1643" spans="1:7" ht="19.899999999999999" customHeight="1" x14ac:dyDescent="0.2">
      <c r="A1643" s="491" t="s">
        <v>577</v>
      </c>
      <c r="B1643" s="491" t="s">
        <v>578</v>
      </c>
      <c r="C1643" s="709"/>
      <c r="D1643" s="709"/>
      <c r="E1643" s="711"/>
      <c r="F1643" s="713"/>
      <c r="G1643" s="715"/>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1016</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1833</v>
      </c>
      <c r="E1648" s="586"/>
      <c r="F1648" s="587" t="str">
        <f ca="1">"$/"&amp;G1582</f>
        <v>$/0</v>
      </c>
      <c r="G1648" s="537">
        <f>SUBTOTAL(9,G1605:G1647)</f>
        <v>0</v>
      </c>
    </row>
    <row r="1649" spans="1:7" ht="19.899999999999999" customHeight="1" x14ac:dyDescent="0.2">
      <c r="A1649" s="533"/>
      <c r="B1649" s="534"/>
      <c r="C1649" s="535"/>
      <c r="D1649" s="535" t="s">
        <v>2043</v>
      </c>
      <c r="E1649" s="536"/>
      <c r="F1649" s="589" t="str">
        <f ca="1">"$/"&amp;G1582</f>
        <v>$/0</v>
      </c>
      <c r="G1649" s="537">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16" t="s">
        <v>31</v>
      </c>
      <c r="B1651" s="717"/>
      <c r="C1651" s="717"/>
      <c r="D1651" s="717"/>
      <c r="E1651" s="717"/>
      <c r="F1651" s="717"/>
      <c r="G1651" s="718"/>
    </row>
    <row r="1652" spans="1:7" ht="19.899999999999999" customHeight="1" x14ac:dyDescent="0.2">
      <c r="A1652" s="516" t="s">
        <v>711</v>
      </c>
      <c r="B1652" s="467" t="str">
        <f>Comitente</f>
        <v>DIRECCIÓN PROVINCIAL DE VIALIDAD</v>
      </c>
      <c r="C1652" s="468"/>
      <c r="D1652" s="469"/>
      <c r="E1652" s="469"/>
      <c r="F1652" s="470"/>
      <c r="G1652" s="517"/>
    </row>
    <row r="1653" spans="1:7" ht="19.899999999999999" customHeight="1" x14ac:dyDescent="0.2">
      <c r="A1653" s="516" t="s">
        <v>712</v>
      </c>
      <c r="B1653" s="467">
        <f>Contratista</f>
        <v>0</v>
      </c>
      <c r="C1653" s="471"/>
      <c r="D1653" s="471"/>
      <c r="E1653" s="471"/>
      <c r="F1653" s="467"/>
      <c r="G1653" s="518"/>
    </row>
    <row r="1654" spans="1:7" ht="19.899999999999999" customHeight="1" x14ac:dyDescent="0.2">
      <c r="A1654" s="516" t="s">
        <v>21</v>
      </c>
      <c r="B1654" s="467" t="str">
        <f>Obra</f>
        <v>OBRA BÁSICA Y PAVIMENTACIÓN CALLE GÜEMES</v>
      </c>
      <c r="C1654" s="471"/>
      <c r="D1654" s="471"/>
      <c r="E1654" s="471"/>
      <c r="F1654" s="467" t="s">
        <v>32</v>
      </c>
      <c r="G1654" s="518">
        <f>Fecha_Base</f>
        <v>0</v>
      </c>
    </row>
    <row r="1655" spans="1:7" ht="19.899999999999999" customHeight="1" x14ac:dyDescent="0.2">
      <c r="A1655" s="519" t="s">
        <v>710</v>
      </c>
      <c r="B1655" s="472" t="str">
        <f>Ubicación</f>
        <v>Rawson - Santa Lucia</v>
      </c>
      <c r="C1655" s="472"/>
      <c r="D1655" s="473"/>
      <c r="E1655" s="474"/>
      <c r="F1655" s="475"/>
      <c r="G1655" s="520"/>
    </row>
    <row r="1656" spans="1:7" ht="19.899999999999999" customHeight="1" x14ac:dyDescent="0.2">
      <c r="A1656" s="519" t="s">
        <v>33</v>
      </c>
      <c r="B1656" s="476" t="str">
        <f>IFERROR(VALUE(LEFT(B1657,FIND(".",B1657)-1)),"")</f>
        <v/>
      </c>
      <c r="C1656" s="175">
        <f ca="1">IFERROR(VLOOKUP(B1656,T_Computo_Presupuesto,2,FALSE),0)</f>
        <v>0</v>
      </c>
      <c r="D1656" s="175"/>
      <c r="E1656" s="474"/>
      <c r="F1656" s="475"/>
      <c r="G1656" s="520"/>
    </row>
    <row r="1657" spans="1:7" ht="19.899999999999999" customHeight="1" x14ac:dyDescent="0.2">
      <c r="A1657" s="519" t="s">
        <v>22</v>
      </c>
      <c r="B1657" s="477" t="str">
        <f>IFERROR(VLOOKUP(COUNTIF($A$1:A1657,"ANALISIS DE PRECIOS"),T_NumeroItem,2,FALSE),"")</f>
        <v/>
      </c>
      <c r="C1657" s="719">
        <f ca="1">IFERROR(VLOOKUP(B1657,T_Computo_Presupuesto,2,FALSE),0)</f>
        <v>0</v>
      </c>
      <c r="D1657" s="719"/>
      <c r="E1657" s="719"/>
      <c r="F1657" s="472" t="s">
        <v>23</v>
      </c>
      <c r="G1657" s="521">
        <f ca="1">IFERROR(VLOOKUP(B1657,T_Computo_Presupuesto,4,FALSE),0)</f>
        <v>0</v>
      </c>
    </row>
    <row r="1658" spans="1:7" ht="19.899999999999999" customHeight="1" x14ac:dyDescent="0.2">
      <c r="A1658" s="519"/>
      <c r="B1658" s="472"/>
      <c r="C1658" s="175"/>
      <c r="D1658" s="473"/>
      <c r="E1658" s="474"/>
      <c r="F1658" s="175"/>
      <c r="G1658" s="522"/>
    </row>
    <row r="1659" spans="1:7" ht="19.899999999999999" customHeight="1" x14ac:dyDescent="0.2">
      <c r="A1659" s="523"/>
      <c r="B1659" s="478"/>
      <c r="C1659" s="479" t="s">
        <v>999</v>
      </c>
      <c r="D1659" s="478"/>
      <c r="E1659" s="478"/>
      <c r="F1659" s="478"/>
      <c r="G1659" s="524"/>
    </row>
    <row r="1660" spans="1:7" ht="19.899999999999999" customHeight="1" x14ac:dyDescent="0.2">
      <c r="A1660" s="519"/>
      <c r="B1660" s="480"/>
      <c r="C1660" s="175"/>
      <c r="D1660" s="473"/>
      <c r="E1660" s="474"/>
      <c r="F1660" s="472"/>
      <c r="G1660" s="521"/>
    </row>
    <row r="1661" spans="1:7" ht="19.899999999999999" customHeight="1" x14ac:dyDescent="0.2">
      <c r="A1661" s="519"/>
      <c r="B1661" s="480"/>
      <c r="C1661" s="481" t="s">
        <v>1000</v>
      </c>
      <c r="D1661" s="482" t="s">
        <v>24</v>
      </c>
      <c r="E1661" s="482" t="s">
        <v>1001</v>
      </c>
      <c r="F1661" s="482" t="s">
        <v>1002</v>
      </c>
      <c r="G1661" s="481" t="s">
        <v>1003</v>
      </c>
    </row>
    <row r="1662" spans="1:7"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x14ac:dyDescent="0.2">
      <c r="A1663" s="519"/>
      <c r="B1663" s="480"/>
      <c r="C1663" s="483"/>
      <c r="D1663" s="484"/>
      <c r="E1663" s="485">
        <f t="shared" si="374"/>
        <v>0</v>
      </c>
      <c r="F1663" s="486">
        <f t="shared" si="375"/>
        <v>0</v>
      </c>
      <c r="G1663" s="486">
        <f>ROUND(D1663*F1663,2)</f>
        <v>0</v>
      </c>
    </row>
    <row r="1664" spans="1:7"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1004</v>
      </c>
      <c r="D1673" s="472" t="s">
        <v>1001</v>
      </c>
      <c r="E1673" s="538">
        <f>SUMPRODUCT(D1662:D1671,E1662:E1671)</f>
        <v>0</v>
      </c>
      <c r="F1673" s="472" t="s">
        <v>1005</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1006</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06" t="s">
        <v>576</v>
      </c>
      <c r="B1677" s="707"/>
      <c r="C1677" s="708" t="s">
        <v>0</v>
      </c>
      <c r="D1677" s="720" t="s">
        <v>1866</v>
      </c>
      <c r="E1677" s="720" t="s">
        <v>1865</v>
      </c>
      <c r="F1677" s="712" t="s">
        <v>1007</v>
      </c>
      <c r="G1677" s="714" t="s">
        <v>26</v>
      </c>
    </row>
    <row r="1678" spans="1:7" ht="19.899999999999999" customHeight="1" x14ac:dyDescent="0.2">
      <c r="A1678" s="491" t="s">
        <v>577</v>
      </c>
      <c r="B1678" s="491" t="s">
        <v>578</v>
      </c>
      <c r="C1678" s="709"/>
      <c r="D1678" s="721"/>
      <c r="E1678" s="711"/>
      <c r="F1678" s="713"/>
      <c r="G1678" s="715"/>
    </row>
    <row r="1679" spans="1:7" ht="19.899999999999999" customHeight="1" x14ac:dyDescent="0.2">
      <c r="A1679" s="527"/>
      <c r="B1679" s="175"/>
      <c r="C1679" s="469" t="s">
        <v>1008</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27</v>
      </c>
      <c r="G1689" s="531">
        <f>SUBTOTAL(9,G1680:G1688)</f>
        <v>0</v>
      </c>
    </row>
    <row r="1690" spans="1:7" ht="19.899999999999999" customHeight="1" x14ac:dyDescent="0.2">
      <c r="A1690" s="527"/>
      <c r="B1690" s="175"/>
      <c r="C1690" s="469" t="s">
        <v>713</v>
      </c>
      <c r="D1690" s="473"/>
      <c r="E1690" s="474"/>
      <c r="F1690" s="475"/>
      <c r="G1690" s="528"/>
    </row>
    <row r="1691" spans="1:7" ht="19.899999999999999" customHeight="1" x14ac:dyDescent="0.2">
      <c r="A1691" s="706" t="s">
        <v>576</v>
      </c>
      <c r="B1691" s="707"/>
      <c r="C1691" s="708" t="s">
        <v>0</v>
      </c>
      <c r="D1691" s="710" t="s">
        <v>24</v>
      </c>
      <c r="E1691" s="710" t="s">
        <v>1832</v>
      </c>
      <c r="F1691" s="712" t="s">
        <v>1007</v>
      </c>
      <c r="G1691" s="714" t="s">
        <v>26</v>
      </c>
    </row>
    <row r="1692" spans="1:7" ht="19.899999999999999" customHeight="1" x14ac:dyDescent="0.2">
      <c r="A1692" s="491" t="s">
        <v>577</v>
      </c>
      <c r="B1692" s="491" t="s">
        <v>578</v>
      </c>
      <c r="C1692" s="709"/>
      <c r="D1692" s="711"/>
      <c r="E1692" s="711"/>
      <c r="F1692" s="713"/>
      <c r="G1692" s="715"/>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28</v>
      </c>
      <c r="G1700" s="532">
        <f>SUBTOTAL(9,G1693:G1699)</f>
        <v>0</v>
      </c>
    </row>
    <row r="1701" spans="1:7" ht="19.899999999999999" customHeight="1" x14ac:dyDescent="0.2">
      <c r="A1701" s="527"/>
      <c r="B1701" s="175"/>
      <c r="C1701" s="469" t="s">
        <v>1014</v>
      </c>
      <c r="D1701" s="473"/>
      <c r="E1701" s="474"/>
      <c r="F1701" s="475"/>
      <c r="G1701" s="528"/>
    </row>
    <row r="1702" spans="1:7" ht="19.899999999999999" customHeight="1" x14ac:dyDescent="0.2">
      <c r="A1702" s="706" t="s">
        <v>576</v>
      </c>
      <c r="B1702" s="707"/>
      <c r="C1702" s="708" t="s">
        <v>0</v>
      </c>
      <c r="D1702" s="708" t="s">
        <v>1867</v>
      </c>
      <c r="E1702" s="710" t="s">
        <v>24</v>
      </c>
      <c r="F1702" s="712" t="s">
        <v>25</v>
      </c>
      <c r="G1702" s="714" t="s">
        <v>26</v>
      </c>
    </row>
    <row r="1703" spans="1:7" ht="19.899999999999999" customHeight="1" x14ac:dyDescent="0.2">
      <c r="A1703" s="491" t="s">
        <v>577</v>
      </c>
      <c r="B1703" s="491" t="s">
        <v>578</v>
      </c>
      <c r="C1703" s="709"/>
      <c r="D1703" s="709"/>
      <c r="E1703" s="711"/>
      <c r="F1703" s="713"/>
      <c r="G1703" s="715"/>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7"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7"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7" ht="19.899999999999999" customHeight="1" x14ac:dyDescent="0.2">
      <c r="A1715" s="527"/>
      <c r="B1715" s="175"/>
      <c r="C1715" s="175"/>
      <c r="D1715" s="473"/>
      <c r="E1715" s="474"/>
      <c r="F1715" s="495" t="s">
        <v>29</v>
      </c>
      <c r="G1715" s="532">
        <f>SUBTOTAL(9,G1704:G1714)</f>
        <v>0</v>
      </c>
    </row>
    <row r="1716" spans="1:7" ht="19.899999999999999" customHeight="1" x14ac:dyDescent="0.2">
      <c r="A1716" s="527"/>
      <c r="B1716" s="175"/>
      <c r="C1716" s="469" t="s">
        <v>1015</v>
      </c>
      <c r="D1716" s="473"/>
      <c r="E1716" s="474"/>
      <c r="F1716" s="475"/>
      <c r="G1716" s="528"/>
    </row>
    <row r="1717" spans="1:7" ht="19.899999999999999" customHeight="1" x14ac:dyDescent="0.2">
      <c r="A1717" s="706" t="s">
        <v>576</v>
      </c>
      <c r="B1717" s="707"/>
      <c r="C1717" s="708" t="s">
        <v>0</v>
      </c>
      <c r="D1717" s="708" t="s">
        <v>1867</v>
      </c>
      <c r="E1717" s="710" t="s">
        <v>24</v>
      </c>
      <c r="F1717" s="712" t="s">
        <v>25</v>
      </c>
      <c r="G1717" s="714" t="s">
        <v>26</v>
      </c>
    </row>
    <row r="1718" spans="1:7" ht="19.899999999999999" customHeight="1" x14ac:dyDescent="0.2">
      <c r="A1718" s="491" t="s">
        <v>577</v>
      </c>
      <c r="B1718" s="491" t="s">
        <v>578</v>
      </c>
      <c r="C1718" s="709"/>
      <c r="D1718" s="709"/>
      <c r="E1718" s="711"/>
      <c r="F1718" s="713"/>
      <c r="G1718" s="715"/>
    </row>
    <row r="1719" spans="1:7"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x14ac:dyDescent="0.2">
      <c r="A1721" s="527"/>
      <c r="B1721" s="175"/>
      <c r="C1721" s="175"/>
      <c r="D1721" s="473"/>
      <c r="E1721" s="474"/>
      <c r="F1721" s="495" t="s">
        <v>1016</v>
      </c>
      <c r="G1721" s="532">
        <f>SUBTOTAL(9,G1719:G1720)</f>
        <v>0</v>
      </c>
    </row>
    <row r="1722" spans="1:7" ht="19.899999999999999" customHeight="1" x14ac:dyDescent="0.2">
      <c r="A1722" s="530"/>
      <c r="B1722" s="473"/>
      <c r="C1722" s="175"/>
      <c r="D1722" s="473"/>
      <c r="E1722" s="474"/>
      <c r="F1722" s="475"/>
      <c r="G1722" s="528"/>
    </row>
    <row r="1723" spans="1:7" ht="19.899999999999999" customHeight="1" x14ac:dyDescent="0.2">
      <c r="A1723" s="588" t="str">
        <f>B1657</f>
        <v/>
      </c>
      <c r="B1723" s="585">
        <f ca="1">C1657</f>
        <v>0</v>
      </c>
      <c r="C1723" s="473"/>
      <c r="D1723" s="473" t="s">
        <v>1833</v>
      </c>
      <c r="E1723" s="586"/>
      <c r="F1723" s="587" t="str">
        <f ca="1">"$/"&amp;G1657</f>
        <v>$/0</v>
      </c>
      <c r="G1723" s="537">
        <f>SUBTOTAL(9,G1680:G1722)</f>
        <v>0</v>
      </c>
    </row>
    <row r="1724" spans="1:7" ht="19.899999999999999" customHeight="1" x14ac:dyDescent="0.2">
      <c r="A1724" s="533"/>
      <c r="B1724" s="534"/>
      <c r="C1724" s="535"/>
      <c r="D1724" s="535" t="s">
        <v>2043</v>
      </c>
      <c r="E1724" s="536"/>
      <c r="F1724" s="589" t="str">
        <f ca="1">"$/"&amp;G1657</f>
        <v>$/0</v>
      </c>
      <c r="G1724" s="537">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16" t="s">
        <v>31</v>
      </c>
      <c r="B1726" s="717"/>
      <c r="C1726" s="717"/>
      <c r="D1726" s="717"/>
      <c r="E1726" s="717"/>
      <c r="F1726" s="717"/>
      <c r="G1726" s="718"/>
    </row>
    <row r="1727" spans="1:7" ht="19.899999999999999" customHeight="1" x14ac:dyDescent="0.2">
      <c r="A1727" s="516" t="s">
        <v>711</v>
      </c>
      <c r="B1727" s="467" t="str">
        <f>Comitente</f>
        <v>DIRECCIÓN PROVINCIAL DE VIALIDAD</v>
      </c>
      <c r="C1727" s="468"/>
      <c r="D1727" s="469"/>
      <c r="E1727" s="469"/>
      <c r="F1727" s="470"/>
      <c r="G1727" s="517"/>
    </row>
    <row r="1728" spans="1:7" ht="19.899999999999999" customHeight="1" x14ac:dyDescent="0.2">
      <c r="A1728" s="516" t="s">
        <v>712</v>
      </c>
      <c r="B1728" s="467">
        <f>Contratista</f>
        <v>0</v>
      </c>
      <c r="C1728" s="471"/>
      <c r="D1728" s="471"/>
      <c r="E1728" s="471"/>
      <c r="F1728" s="467"/>
      <c r="G1728" s="518"/>
    </row>
    <row r="1729" spans="1:7" ht="19.899999999999999" customHeight="1" x14ac:dyDescent="0.2">
      <c r="A1729" s="516" t="s">
        <v>21</v>
      </c>
      <c r="B1729" s="467" t="str">
        <f>Obra</f>
        <v>OBRA BÁSICA Y PAVIMENTACIÓN CALLE GÜEMES</v>
      </c>
      <c r="C1729" s="471"/>
      <c r="D1729" s="471"/>
      <c r="E1729" s="471"/>
      <c r="F1729" s="467" t="s">
        <v>32</v>
      </c>
      <c r="G1729" s="518">
        <f>Fecha_Base</f>
        <v>0</v>
      </c>
    </row>
    <row r="1730" spans="1:7" ht="19.899999999999999" customHeight="1" x14ac:dyDescent="0.2">
      <c r="A1730" s="519" t="s">
        <v>710</v>
      </c>
      <c r="B1730" s="472" t="str">
        <f>Ubicación</f>
        <v>Rawson - Santa Lucia</v>
      </c>
      <c r="C1730" s="472"/>
      <c r="D1730" s="473"/>
      <c r="E1730" s="474"/>
      <c r="F1730" s="475"/>
      <c r="G1730" s="520"/>
    </row>
    <row r="1731" spans="1:7" ht="19.899999999999999" customHeight="1" x14ac:dyDescent="0.2">
      <c r="A1731" s="519" t="s">
        <v>33</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22</v>
      </c>
      <c r="B1732" s="477" t="str">
        <f>IFERROR(VLOOKUP(COUNTIF($A$1:A1732,"ANALISIS DE PRECIOS"),T_NumeroItem,2,FALSE),"")</f>
        <v/>
      </c>
      <c r="C1732" s="719">
        <f ca="1">IFERROR(VLOOKUP(B1732,T_Computo_Presupuesto,2,FALSE),0)</f>
        <v>0</v>
      </c>
      <c r="D1732" s="719"/>
      <c r="E1732" s="719"/>
      <c r="F1732" s="472" t="s">
        <v>23</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999</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1000</v>
      </c>
      <c r="D1736" s="482" t="s">
        <v>24</v>
      </c>
      <c r="E1736" s="482" t="s">
        <v>1001</v>
      </c>
      <c r="F1736" s="482" t="s">
        <v>1002</v>
      </c>
      <c r="G1736" s="481" t="s">
        <v>1003</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1004</v>
      </c>
      <c r="D1748" s="472" t="s">
        <v>1001</v>
      </c>
      <c r="E1748" s="538">
        <f>SUMPRODUCT(D1737:D1746,E1737:E1746)</f>
        <v>0</v>
      </c>
      <c r="F1748" s="472" t="s">
        <v>1005</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1006</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06" t="s">
        <v>576</v>
      </c>
      <c r="B1752" s="707"/>
      <c r="C1752" s="708" t="s">
        <v>0</v>
      </c>
      <c r="D1752" s="720" t="s">
        <v>1866</v>
      </c>
      <c r="E1752" s="720" t="s">
        <v>1865</v>
      </c>
      <c r="F1752" s="712" t="s">
        <v>1007</v>
      </c>
      <c r="G1752" s="714" t="s">
        <v>26</v>
      </c>
    </row>
    <row r="1753" spans="1:7" ht="19.899999999999999" customHeight="1" x14ac:dyDescent="0.2">
      <c r="A1753" s="491" t="s">
        <v>577</v>
      </c>
      <c r="B1753" s="491" t="s">
        <v>578</v>
      </c>
      <c r="C1753" s="709"/>
      <c r="D1753" s="721"/>
      <c r="E1753" s="711"/>
      <c r="F1753" s="713"/>
      <c r="G1753" s="715"/>
    </row>
    <row r="1754" spans="1:7" ht="19.899999999999999" customHeight="1" x14ac:dyDescent="0.2">
      <c r="A1754" s="527"/>
      <c r="B1754" s="175"/>
      <c r="C1754" s="469" t="s">
        <v>1008</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27</v>
      </c>
      <c r="G1764" s="531">
        <f>SUBTOTAL(9,G1755:G1763)</f>
        <v>0</v>
      </c>
    </row>
    <row r="1765" spans="1:7" ht="19.899999999999999" customHeight="1" x14ac:dyDescent="0.2">
      <c r="A1765" s="527"/>
      <c r="B1765" s="175"/>
      <c r="C1765" s="469" t="s">
        <v>713</v>
      </c>
      <c r="D1765" s="473"/>
      <c r="E1765" s="474"/>
      <c r="F1765" s="475"/>
      <c r="G1765" s="528"/>
    </row>
    <row r="1766" spans="1:7" ht="19.899999999999999" customHeight="1" x14ac:dyDescent="0.2">
      <c r="A1766" s="706" t="s">
        <v>576</v>
      </c>
      <c r="B1766" s="707"/>
      <c r="C1766" s="708" t="s">
        <v>0</v>
      </c>
      <c r="D1766" s="710" t="s">
        <v>24</v>
      </c>
      <c r="E1766" s="710" t="s">
        <v>1832</v>
      </c>
      <c r="F1766" s="712" t="s">
        <v>1007</v>
      </c>
      <c r="G1766" s="714" t="s">
        <v>26</v>
      </c>
    </row>
    <row r="1767" spans="1:7" ht="19.899999999999999" customHeight="1" x14ac:dyDescent="0.2">
      <c r="A1767" s="491" t="s">
        <v>577</v>
      </c>
      <c r="B1767" s="491" t="s">
        <v>578</v>
      </c>
      <c r="C1767" s="709"/>
      <c r="D1767" s="711"/>
      <c r="E1767" s="711"/>
      <c r="F1767" s="713"/>
      <c r="G1767" s="715"/>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28</v>
      </c>
      <c r="G1775" s="532">
        <f>SUBTOTAL(9,G1768:G1774)</f>
        <v>0</v>
      </c>
    </row>
    <row r="1776" spans="1:7" ht="19.899999999999999" customHeight="1" x14ac:dyDescent="0.2">
      <c r="A1776" s="527"/>
      <c r="B1776" s="175"/>
      <c r="C1776" s="469" t="s">
        <v>1014</v>
      </c>
      <c r="D1776" s="473"/>
      <c r="E1776" s="474"/>
      <c r="F1776" s="475"/>
      <c r="G1776" s="528"/>
    </row>
    <row r="1777" spans="1:7" ht="19.899999999999999" customHeight="1" x14ac:dyDescent="0.2">
      <c r="A1777" s="706" t="s">
        <v>576</v>
      </c>
      <c r="B1777" s="707"/>
      <c r="C1777" s="708" t="s">
        <v>0</v>
      </c>
      <c r="D1777" s="708" t="s">
        <v>1867</v>
      </c>
      <c r="E1777" s="710" t="s">
        <v>24</v>
      </c>
      <c r="F1777" s="712" t="s">
        <v>25</v>
      </c>
      <c r="G1777" s="714" t="s">
        <v>26</v>
      </c>
    </row>
    <row r="1778" spans="1:7" ht="19.899999999999999" customHeight="1" x14ac:dyDescent="0.2">
      <c r="A1778" s="491" t="s">
        <v>577</v>
      </c>
      <c r="B1778" s="491" t="s">
        <v>578</v>
      </c>
      <c r="C1778" s="709"/>
      <c r="D1778" s="709"/>
      <c r="E1778" s="711"/>
      <c r="F1778" s="713"/>
      <c r="G1778" s="715"/>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29</v>
      </c>
      <c r="G1790" s="532">
        <f>SUBTOTAL(9,G1779:G1789)</f>
        <v>0</v>
      </c>
    </row>
    <row r="1791" spans="1:7" ht="19.899999999999999" customHeight="1" x14ac:dyDescent="0.2">
      <c r="A1791" s="527"/>
      <c r="B1791" s="175"/>
      <c r="C1791" s="469" t="s">
        <v>1015</v>
      </c>
      <c r="D1791" s="473"/>
      <c r="E1791" s="474"/>
      <c r="F1791" s="475"/>
      <c r="G1791" s="528"/>
    </row>
    <row r="1792" spans="1:7" ht="19.899999999999999" customHeight="1" x14ac:dyDescent="0.2">
      <c r="A1792" s="706" t="s">
        <v>576</v>
      </c>
      <c r="B1792" s="707"/>
      <c r="C1792" s="708" t="s">
        <v>0</v>
      </c>
      <c r="D1792" s="708" t="s">
        <v>1867</v>
      </c>
      <c r="E1792" s="710" t="s">
        <v>24</v>
      </c>
      <c r="F1792" s="712" t="s">
        <v>25</v>
      </c>
      <c r="G1792" s="714" t="s">
        <v>26</v>
      </c>
    </row>
    <row r="1793" spans="1:8" ht="19.899999999999999" customHeight="1" x14ac:dyDescent="0.2">
      <c r="A1793" s="491" t="s">
        <v>577</v>
      </c>
      <c r="B1793" s="491" t="s">
        <v>578</v>
      </c>
      <c r="C1793" s="709"/>
      <c r="D1793" s="709"/>
      <c r="E1793" s="711"/>
      <c r="F1793" s="713"/>
      <c r="G1793" s="715"/>
    </row>
    <row r="1794" spans="1:8"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x14ac:dyDescent="0.2">
      <c r="A1796" s="527"/>
      <c r="B1796" s="175"/>
      <c r="C1796" s="175"/>
      <c r="D1796" s="473"/>
      <c r="E1796" s="474"/>
      <c r="F1796" s="495" t="s">
        <v>1016</v>
      </c>
      <c r="G1796" s="532">
        <f>SUBTOTAL(9,G1794:G1795)</f>
        <v>0</v>
      </c>
    </row>
    <row r="1797" spans="1:8" ht="19.899999999999999" customHeight="1" x14ac:dyDescent="0.2">
      <c r="A1797" s="530"/>
      <c r="B1797" s="473"/>
      <c r="C1797" s="175"/>
      <c r="D1797" s="473"/>
      <c r="E1797" s="474"/>
      <c r="F1797" s="475"/>
      <c r="G1797" s="528"/>
    </row>
    <row r="1798" spans="1:8" ht="19.899999999999999" customHeight="1" x14ac:dyDescent="0.2">
      <c r="A1798" s="588" t="str">
        <f>B1732</f>
        <v/>
      </c>
      <c r="B1798" s="585">
        <f ca="1">C1732</f>
        <v>0</v>
      </c>
      <c r="C1798" s="473"/>
      <c r="D1798" s="473" t="s">
        <v>1833</v>
      </c>
      <c r="E1798" s="586"/>
      <c r="F1798" s="587" t="str">
        <f ca="1">"$/"&amp;G1732</f>
        <v>$/0</v>
      </c>
      <c r="G1798" s="537">
        <f>SUBTOTAL(9,G1755:G1797)</f>
        <v>0</v>
      </c>
    </row>
    <row r="1799" spans="1:8" ht="19.899999999999999" customHeight="1" x14ac:dyDescent="0.2">
      <c r="A1799" s="533"/>
      <c r="B1799" s="534"/>
      <c r="C1799" s="535"/>
      <c r="D1799" s="535" t="s">
        <v>2043</v>
      </c>
      <c r="E1799" s="536"/>
      <c r="F1799" s="589" t="str">
        <f ca="1">"$/"&amp;G1732</f>
        <v>$/0</v>
      </c>
      <c r="G1799" s="537">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16" t="s">
        <v>31</v>
      </c>
      <c r="B1801" s="717"/>
      <c r="C1801" s="717"/>
      <c r="D1801" s="717"/>
      <c r="E1801" s="717"/>
      <c r="F1801" s="717"/>
      <c r="G1801" s="718"/>
      <c r="H1801" s="65"/>
    </row>
    <row r="1802" spans="1:8" ht="19.899999999999999" customHeight="1" x14ac:dyDescent="0.2">
      <c r="A1802" s="516" t="s">
        <v>711</v>
      </c>
      <c r="B1802" s="467" t="str">
        <f>Comitente</f>
        <v>DIRECCIÓN PROVINCIAL DE VIALIDAD</v>
      </c>
      <c r="C1802" s="468"/>
      <c r="D1802" s="469"/>
      <c r="E1802" s="469"/>
      <c r="F1802" s="470"/>
      <c r="G1802" s="517"/>
      <c r="H1802" s="65"/>
    </row>
    <row r="1803" spans="1:8" ht="19.899999999999999" customHeight="1" x14ac:dyDescent="0.2">
      <c r="A1803" s="516" t="s">
        <v>712</v>
      </c>
      <c r="B1803" s="467">
        <f>Contratista</f>
        <v>0</v>
      </c>
      <c r="C1803" s="471"/>
      <c r="D1803" s="471"/>
      <c r="E1803" s="471"/>
      <c r="F1803" s="467"/>
      <c r="G1803" s="518"/>
      <c r="H1803" s="65"/>
    </row>
    <row r="1804" spans="1:8" ht="19.899999999999999" customHeight="1" x14ac:dyDescent="0.2">
      <c r="A1804" s="516" t="s">
        <v>21</v>
      </c>
      <c r="B1804" s="467" t="str">
        <f>Obra</f>
        <v>OBRA BÁSICA Y PAVIMENTACIÓN CALLE GÜEMES</v>
      </c>
      <c r="C1804" s="471"/>
      <c r="D1804" s="471"/>
      <c r="E1804" s="471"/>
      <c r="F1804" s="467" t="s">
        <v>32</v>
      </c>
      <c r="G1804" s="518">
        <f>Fecha_Base</f>
        <v>0</v>
      </c>
      <c r="H1804" s="65"/>
    </row>
    <row r="1805" spans="1:8" ht="19.899999999999999" customHeight="1" x14ac:dyDescent="0.2">
      <c r="A1805" s="519" t="s">
        <v>710</v>
      </c>
      <c r="B1805" s="472" t="str">
        <f>Ubicación</f>
        <v>Rawson - Santa Lucia</v>
      </c>
      <c r="C1805" s="472"/>
      <c r="D1805" s="473"/>
      <c r="E1805" s="474"/>
      <c r="F1805" s="475"/>
      <c r="G1805" s="520"/>
      <c r="H1805" s="65"/>
    </row>
    <row r="1806" spans="1:8" ht="19.899999999999999" customHeight="1" x14ac:dyDescent="0.2">
      <c r="A1806" s="519" t="s">
        <v>33</v>
      </c>
      <c r="B1806" s="476" t="str">
        <f>IFERROR(VALUE(LEFT(B1807,FIND(".",B1807)-1)),"")</f>
        <v/>
      </c>
      <c r="C1806" s="175">
        <f ca="1">IFERROR(VLOOKUP(B1806,T_Computo_Presupuesto,2,FALSE),0)</f>
        <v>0</v>
      </c>
      <c r="D1806" s="175"/>
      <c r="E1806" s="474"/>
      <c r="F1806" s="475"/>
      <c r="G1806" s="520"/>
      <c r="H1806" s="65"/>
    </row>
    <row r="1807" spans="1:8" ht="19.899999999999999" customHeight="1" x14ac:dyDescent="0.2">
      <c r="A1807" s="519" t="s">
        <v>22</v>
      </c>
      <c r="B1807" s="477" t="str">
        <f>IFERROR(VLOOKUP(COUNTIF($A$1:A1807,"ANALISIS DE PRECIOS"),T_NumeroItem,2,FALSE),"")</f>
        <v/>
      </c>
      <c r="C1807" s="719">
        <f ca="1">IFERROR(VLOOKUP(B1807,T_Computo_Presupuesto,2,FALSE),0)</f>
        <v>0</v>
      </c>
      <c r="D1807" s="719"/>
      <c r="E1807" s="719"/>
      <c r="F1807" s="472" t="s">
        <v>23</v>
      </c>
      <c r="G1807" s="521">
        <f ca="1">IFERROR(VLOOKUP(B1807,T_Computo_Presupuesto,4,FALSE),0)</f>
        <v>0</v>
      </c>
      <c r="H1807" s="65"/>
    </row>
    <row r="1808" spans="1:8" ht="19.899999999999999" customHeight="1" x14ac:dyDescent="0.2">
      <c r="A1808" s="519"/>
      <c r="B1808" s="472"/>
      <c r="C1808" s="175"/>
      <c r="D1808" s="473"/>
      <c r="E1808" s="474"/>
      <c r="F1808" s="175"/>
      <c r="G1808" s="522"/>
      <c r="H1808" s="65"/>
    </row>
    <row r="1809" spans="1:8" ht="19.899999999999999" customHeight="1" x14ac:dyDescent="0.2">
      <c r="A1809" s="523"/>
      <c r="B1809" s="478"/>
      <c r="C1809" s="479" t="s">
        <v>999</v>
      </c>
      <c r="D1809" s="478"/>
      <c r="E1809" s="478"/>
      <c r="F1809" s="478"/>
      <c r="G1809" s="524"/>
      <c r="H1809" s="65"/>
    </row>
    <row r="1810" spans="1:8" ht="19.899999999999999" customHeight="1" x14ac:dyDescent="0.2">
      <c r="A1810" s="519"/>
      <c r="B1810" s="480"/>
      <c r="C1810" s="175"/>
      <c r="D1810" s="473"/>
      <c r="E1810" s="474"/>
      <c r="F1810" s="472"/>
      <c r="G1810" s="521"/>
      <c r="H1810" s="65"/>
    </row>
    <row r="1811" spans="1:8" ht="19.899999999999999" customHeight="1" x14ac:dyDescent="0.2">
      <c r="A1811" s="519"/>
      <c r="B1811" s="480"/>
      <c r="C1811" s="481" t="s">
        <v>1000</v>
      </c>
      <c r="D1811" s="482" t="s">
        <v>24</v>
      </c>
      <c r="E1811" s="482" t="s">
        <v>1001</v>
      </c>
      <c r="F1811" s="482" t="s">
        <v>1002</v>
      </c>
      <c r="G1811" s="481" t="s">
        <v>1003</v>
      </c>
    </row>
    <row r="1812" spans="1:8"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x14ac:dyDescent="0.2">
      <c r="A1813" s="519"/>
      <c r="B1813" s="480"/>
      <c r="C1813" s="483"/>
      <c r="D1813" s="484"/>
      <c r="E1813" s="485">
        <f t="shared" si="408"/>
        <v>0</v>
      </c>
      <c r="F1813" s="486">
        <f t="shared" si="409"/>
        <v>0</v>
      </c>
      <c r="G1813" s="486">
        <f>ROUND(D1813*F1813,2)</f>
        <v>0</v>
      </c>
    </row>
    <row r="1814" spans="1:8" ht="19.899999999999999" customHeight="1" x14ac:dyDescent="0.2">
      <c r="A1814" s="519"/>
      <c r="B1814" s="480"/>
      <c r="C1814" s="483"/>
      <c r="D1814" s="484"/>
      <c r="E1814" s="485">
        <f t="shared" si="408"/>
        <v>0</v>
      </c>
      <c r="F1814" s="486">
        <f t="shared" si="409"/>
        <v>0</v>
      </c>
      <c r="G1814" s="486">
        <f>ROUND(D1814*F1814,2)</f>
        <v>0</v>
      </c>
    </row>
    <row r="1815" spans="1:8" ht="19.899999999999999" customHeight="1" x14ac:dyDescent="0.2">
      <c r="A1815" s="519"/>
      <c r="B1815" s="480"/>
      <c r="C1815" s="483"/>
      <c r="D1815" s="484"/>
      <c r="E1815" s="485">
        <f t="shared" si="408"/>
        <v>0</v>
      </c>
      <c r="F1815" s="486">
        <f t="shared" si="409"/>
        <v>0</v>
      </c>
      <c r="G1815" s="486">
        <f>ROUND(D1815*F1815,2)</f>
        <v>0</v>
      </c>
    </row>
    <row r="1816" spans="1:8" ht="19.899999999999999" customHeight="1" x14ac:dyDescent="0.2">
      <c r="A1816" s="519"/>
      <c r="B1816" s="480"/>
      <c r="C1816" s="483"/>
      <c r="D1816" s="484"/>
      <c r="E1816" s="485">
        <f t="shared" si="408"/>
        <v>0</v>
      </c>
      <c r="F1816" s="486">
        <f t="shared" si="409"/>
        <v>0</v>
      </c>
      <c r="G1816" s="486">
        <f t="shared" ref="G1816:G1821" si="410">ROUND(D1816*F1816,2)</f>
        <v>0</v>
      </c>
    </row>
    <row r="1817" spans="1:8" ht="19.899999999999999" customHeight="1" x14ac:dyDescent="0.2">
      <c r="A1817" s="519"/>
      <c r="B1817" s="480"/>
      <c r="C1817" s="483"/>
      <c r="D1817" s="484"/>
      <c r="E1817" s="485">
        <f t="shared" si="408"/>
        <v>0</v>
      </c>
      <c r="F1817" s="486">
        <f t="shared" si="409"/>
        <v>0</v>
      </c>
      <c r="G1817" s="486">
        <f t="shared" si="410"/>
        <v>0</v>
      </c>
    </row>
    <row r="1818" spans="1:8" ht="19.899999999999999" customHeight="1" x14ac:dyDescent="0.2">
      <c r="A1818" s="519"/>
      <c r="B1818" s="480"/>
      <c r="C1818" s="483"/>
      <c r="D1818" s="484"/>
      <c r="E1818" s="485">
        <f t="shared" si="408"/>
        <v>0</v>
      </c>
      <c r="F1818" s="486">
        <f t="shared" si="409"/>
        <v>0</v>
      </c>
      <c r="G1818" s="486">
        <f t="shared" si="410"/>
        <v>0</v>
      </c>
    </row>
    <row r="1819" spans="1:8" ht="19.899999999999999" customHeight="1" x14ac:dyDescent="0.2">
      <c r="A1819" s="519"/>
      <c r="B1819" s="480"/>
      <c r="C1819" s="483"/>
      <c r="D1819" s="484"/>
      <c r="E1819" s="485">
        <f t="shared" si="408"/>
        <v>0</v>
      </c>
      <c r="F1819" s="486">
        <f t="shared" si="409"/>
        <v>0</v>
      </c>
      <c r="G1819" s="486">
        <f t="shared" si="410"/>
        <v>0</v>
      </c>
    </row>
    <row r="1820" spans="1:8" ht="19.899999999999999" customHeight="1" x14ac:dyDescent="0.2">
      <c r="A1820" s="519"/>
      <c r="B1820" s="480"/>
      <c r="C1820" s="483"/>
      <c r="D1820" s="484"/>
      <c r="E1820" s="485">
        <f t="shared" si="408"/>
        <v>0</v>
      </c>
      <c r="F1820" s="486">
        <f t="shared" si="409"/>
        <v>0</v>
      </c>
      <c r="G1820" s="486">
        <f t="shared" si="410"/>
        <v>0</v>
      </c>
    </row>
    <row r="1821" spans="1:8" ht="19.899999999999999" customHeight="1" x14ac:dyDescent="0.2">
      <c r="A1821" s="519"/>
      <c r="B1821" s="480"/>
      <c r="C1821" s="483"/>
      <c r="D1821" s="484"/>
      <c r="E1821" s="485">
        <f t="shared" si="408"/>
        <v>0</v>
      </c>
      <c r="F1821" s="486">
        <f t="shared" si="409"/>
        <v>0</v>
      </c>
      <c r="G1821" s="486">
        <f t="shared" si="410"/>
        <v>0</v>
      </c>
    </row>
    <row r="1822" spans="1:8" ht="19.899999999999999" customHeight="1" x14ac:dyDescent="0.2">
      <c r="A1822" s="519"/>
      <c r="B1822" s="480"/>
      <c r="C1822" s="175"/>
      <c r="D1822" s="175"/>
      <c r="E1822" s="487"/>
      <c r="F1822" s="472"/>
      <c r="G1822" s="521"/>
    </row>
    <row r="1823" spans="1:8" ht="19.899999999999999" customHeight="1" x14ac:dyDescent="0.2">
      <c r="A1823" s="519"/>
      <c r="B1823" s="175"/>
      <c r="C1823" s="469" t="s">
        <v>1004</v>
      </c>
      <c r="D1823" s="472" t="s">
        <v>1001</v>
      </c>
      <c r="E1823" s="538">
        <f>SUMPRODUCT(D1812:D1821,E1812:E1821)</f>
        <v>0</v>
      </c>
      <c r="F1823" s="472" t="s">
        <v>1005</v>
      </c>
      <c r="G1823" s="539">
        <f>SUM(G1812:G1821)</f>
        <v>0</v>
      </c>
    </row>
    <row r="1824" spans="1:8" ht="19.899999999999999" customHeight="1" x14ac:dyDescent="0.2">
      <c r="A1824" s="519"/>
      <c r="B1824" s="480"/>
      <c r="C1824" s="488"/>
      <c r="D1824" s="487"/>
      <c r="E1824" s="474"/>
      <c r="F1824" s="472"/>
      <c r="G1824" s="525"/>
    </row>
    <row r="1825" spans="1:7" ht="19.899999999999999" customHeight="1" x14ac:dyDescent="0.2">
      <c r="A1825" s="526"/>
      <c r="B1825" s="480"/>
      <c r="C1825" s="472" t="s">
        <v>1006</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06" t="s">
        <v>576</v>
      </c>
      <c r="B1827" s="707"/>
      <c r="C1827" s="708" t="s">
        <v>0</v>
      </c>
      <c r="D1827" s="720" t="s">
        <v>1866</v>
      </c>
      <c r="E1827" s="720" t="s">
        <v>1865</v>
      </c>
      <c r="F1827" s="712" t="s">
        <v>1007</v>
      </c>
      <c r="G1827" s="714" t="s">
        <v>26</v>
      </c>
    </row>
    <row r="1828" spans="1:7" ht="19.899999999999999" customHeight="1" x14ac:dyDescent="0.2">
      <c r="A1828" s="491" t="s">
        <v>577</v>
      </c>
      <c r="B1828" s="491" t="s">
        <v>578</v>
      </c>
      <c r="C1828" s="709"/>
      <c r="D1828" s="721"/>
      <c r="E1828" s="711"/>
      <c r="F1828" s="713"/>
      <c r="G1828" s="715"/>
    </row>
    <row r="1829" spans="1:7" ht="19.899999999999999" customHeight="1" x14ac:dyDescent="0.2">
      <c r="A1829" s="527"/>
      <c r="B1829" s="175"/>
      <c r="C1829" s="469" t="s">
        <v>1008</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27</v>
      </c>
      <c r="G1839" s="531">
        <f>SUBTOTAL(9,G1830:G1838)</f>
        <v>0</v>
      </c>
    </row>
    <row r="1840" spans="1:7" ht="19.899999999999999" customHeight="1" x14ac:dyDescent="0.2">
      <c r="A1840" s="527"/>
      <c r="B1840" s="175"/>
      <c r="C1840" s="469" t="s">
        <v>713</v>
      </c>
      <c r="D1840" s="473"/>
      <c r="E1840" s="474"/>
      <c r="F1840" s="475"/>
      <c r="G1840" s="528"/>
    </row>
    <row r="1841" spans="1:7" ht="19.899999999999999" customHeight="1" x14ac:dyDescent="0.2">
      <c r="A1841" s="706" t="s">
        <v>576</v>
      </c>
      <c r="B1841" s="707"/>
      <c r="C1841" s="708" t="s">
        <v>0</v>
      </c>
      <c r="D1841" s="710" t="s">
        <v>24</v>
      </c>
      <c r="E1841" s="710" t="s">
        <v>1832</v>
      </c>
      <c r="F1841" s="712" t="s">
        <v>1007</v>
      </c>
      <c r="G1841" s="714" t="s">
        <v>26</v>
      </c>
    </row>
    <row r="1842" spans="1:7" ht="19.899999999999999" customHeight="1" x14ac:dyDescent="0.2">
      <c r="A1842" s="491" t="s">
        <v>577</v>
      </c>
      <c r="B1842" s="491" t="s">
        <v>578</v>
      </c>
      <c r="C1842" s="709"/>
      <c r="D1842" s="711"/>
      <c r="E1842" s="711"/>
      <c r="F1842" s="713"/>
      <c r="G1842" s="715"/>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28</v>
      </c>
      <c r="G1850" s="532">
        <f>SUBTOTAL(9,G1843:G1849)</f>
        <v>0</v>
      </c>
    </row>
    <row r="1851" spans="1:7" ht="19.899999999999999" customHeight="1" x14ac:dyDescent="0.2">
      <c r="A1851" s="527"/>
      <c r="B1851" s="175"/>
      <c r="C1851" s="469" t="s">
        <v>1014</v>
      </c>
      <c r="D1851" s="473"/>
      <c r="E1851" s="474"/>
      <c r="F1851" s="475"/>
      <c r="G1851" s="528"/>
    </row>
    <row r="1852" spans="1:7" ht="19.899999999999999" customHeight="1" x14ac:dyDescent="0.2">
      <c r="A1852" s="706" t="s">
        <v>576</v>
      </c>
      <c r="B1852" s="707"/>
      <c r="C1852" s="708" t="s">
        <v>0</v>
      </c>
      <c r="D1852" s="708" t="s">
        <v>1867</v>
      </c>
      <c r="E1852" s="710" t="s">
        <v>24</v>
      </c>
      <c r="F1852" s="712" t="s">
        <v>25</v>
      </c>
      <c r="G1852" s="714" t="s">
        <v>26</v>
      </c>
    </row>
    <row r="1853" spans="1:7" ht="19.899999999999999" customHeight="1" x14ac:dyDescent="0.2">
      <c r="A1853" s="491" t="s">
        <v>577</v>
      </c>
      <c r="B1853" s="491" t="s">
        <v>578</v>
      </c>
      <c r="C1853" s="709"/>
      <c r="D1853" s="709"/>
      <c r="E1853" s="711"/>
      <c r="F1853" s="713"/>
      <c r="G1853" s="715"/>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8"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8"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8"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8"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8"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8"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8"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8"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8" ht="19.899999999999999" customHeight="1" x14ac:dyDescent="0.2">
      <c r="A1865" s="527"/>
      <c r="B1865" s="175"/>
      <c r="C1865" s="175"/>
      <c r="D1865" s="473"/>
      <c r="E1865" s="474"/>
      <c r="F1865" s="495" t="s">
        <v>29</v>
      </c>
      <c r="G1865" s="532">
        <f>SUBTOTAL(9,G1854:G1864)</f>
        <v>0</v>
      </c>
    </row>
    <row r="1866" spans="1:8" ht="19.899999999999999" customHeight="1" x14ac:dyDescent="0.2">
      <c r="A1866" s="527"/>
      <c r="B1866" s="175"/>
      <c r="C1866" s="469" t="s">
        <v>1015</v>
      </c>
      <c r="D1866" s="473"/>
      <c r="E1866" s="474"/>
      <c r="F1866" s="475"/>
      <c r="G1866" s="528"/>
    </row>
    <row r="1867" spans="1:8" ht="19.899999999999999" customHeight="1" x14ac:dyDescent="0.2">
      <c r="A1867" s="706" t="s">
        <v>576</v>
      </c>
      <c r="B1867" s="707"/>
      <c r="C1867" s="708" t="s">
        <v>0</v>
      </c>
      <c r="D1867" s="708" t="s">
        <v>1867</v>
      </c>
      <c r="E1867" s="710" t="s">
        <v>24</v>
      </c>
      <c r="F1867" s="712" t="s">
        <v>25</v>
      </c>
      <c r="G1867" s="714" t="s">
        <v>26</v>
      </c>
    </row>
    <row r="1868" spans="1:8" ht="19.899999999999999" customHeight="1" x14ac:dyDescent="0.2">
      <c r="A1868" s="491" t="s">
        <v>577</v>
      </c>
      <c r="B1868" s="491" t="s">
        <v>578</v>
      </c>
      <c r="C1868" s="709"/>
      <c r="D1868" s="709"/>
      <c r="E1868" s="711"/>
      <c r="F1868" s="713"/>
      <c r="G1868" s="715"/>
    </row>
    <row r="1869" spans="1:8"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x14ac:dyDescent="0.2">
      <c r="A1871" s="527"/>
      <c r="B1871" s="175"/>
      <c r="C1871" s="175"/>
      <c r="D1871" s="473"/>
      <c r="E1871" s="474"/>
      <c r="F1871" s="495" t="s">
        <v>1016</v>
      </c>
      <c r="G1871" s="532">
        <f>SUBTOTAL(9,G1869:G1870)</f>
        <v>0</v>
      </c>
      <c r="H1871" s="65"/>
    </row>
    <row r="1872" spans="1:8" ht="19.899999999999999" customHeight="1" x14ac:dyDescent="0.2">
      <c r="A1872" s="530"/>
      <c r="B1872" s="473"/>
      <c r="C1872" s="175"/>
      <c r="D1872" s="473"/>
      <c r="E1872" s="474"/>
      <c r="F1872" s="475"/>
      <c r="G1872" s="528"/>
      <c r="H1872" s="65"/>
    </row>
    <row r="1873" spans="1:8" ht="19.899999999999999" customHeight="1" x14ac:dyDescent="0.2">
      <c r="A1873" s="588" t="str">
        <f>B1807</f>
        <v/>
      </c>
      <c r="B1873" s="585">
        <f ca="1">C1807</f>
        <v>0</v>
      </c>
      <c r="C1873" s="473"/>
      <c r="D1873" s="473" t="s">
        <v>1833</v>
      </c>
      <c r="E1873" s="586"/>
      <c r="F1873" s="587" t="str">
        <f ca="1">"$/"&amp;G1807</f>
        <v>$/0</v>
      </c>
      <c r="G1873" s="537">
        <f>SUBTOTAL(9,G1830:G1872)</f>
        <v>0</v>
      </c>
      <c r="H1873" s="65"/>
    </row>
    <row r="1874" spans="1:8" ht="19.899999999999999" customHeight="1" x14ac:dyDescent="0.2">
      <c r="A1874" s="533"/>
      <c r="B1874" s="534"/>
      <c r="C1874" s="535"/>
      <c r="D1874" s="535" t="s">
        <v>2043</v>
      </c>
      <c r="E1874" s="536"/>
      <c r="F1874" s="589" t="str">
        <f ca="1">"$/"&amp;G1807</f>
        <v>$/0</v>
      </c>
      <c r="G1874" s="537">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16" t="s">
        <v>31</v>
      </c>
      <c r="B1876" s="717"/>
      <c r="C1876" s="717"/>
      <c r="D1876" s="717"/>
      <c r="E1876" s="717"/>
      <c r="F1876" s="717"/>
      <c r="G1876" s="718"/>
    </row>
    <row r="1877" spans="1:8" ht="19.899999999999999" customHeight="1" x14ac:dyDescent="0.2">
      <c r="A1877" s="516" t="s">
        <v>711</v>
      </c>
      <c r="B1877" s="467" t="str">
        <f>Comitente</f>
        <v>DIRECCIÓN PROVINCIAL DE VIALIDAD</v>
      </c>
      <c r="C1877" s="468"/>
      <c r="D1877" s="469"/>
      <c r="E1877" s="469"/>
      <c r="F1877" s="470"/>
      <c r="G1877" s="517"/>
    </row>
    <row r="1878" spans="1:8" ht="19.899999999999999" customHeight="1" x14ac:dyDescent="0.2">
      <c r="A1878" s="516" t="s">
        <v>712</v>
      </c>
      <c r="B1878" s="467">
        <f>Contratista</f>
        <v>0</v>
      </c>
      <c r="C1878" s="471"/>
      <c r="D1878" s="471"/>
      <c r="E1878" s="471"/>
      <c r="F1878" s="467"/>
      <c r="G1878" s="518"/>
    </row>
    <row r="1879" spans="1:8" ht="19.899999999999999" customHeight="1" x14ac:dyDescent="0.2">
      <c r="A1879" s="516" t="s">
        <v>21</v>
      </c>
      <c r="B1879" s="467" t="str">
        <f>Obra</f>
        <v>OBRA BÁSICA Y PAVIMENTACIÓN CALLE GÜEMES</v>
      </c>
      <c r="C1879" s="471"/>
      <c r="D1879" s="471"/>
      <c r="E1879" s="471"/>
      <c r="F1879" s="467" t="s">
        <v>32</v>
      </c>
      <c r="G1879" s="518">
        <f>Fecha_Base</f>
        <v>0</v>
      </c>
    </row>
    <row r="1880" spans="1:8" ht="19.899999999999999" customHeight="1" x14ac:dyDescent="0.2">
      <c r="A1880" s="519" t="s">
        <v>710</v>
      </c>
      <c r="B1880" s="472" t="str">
        <f>Ubicación</f>
        <v>Rawson - Santa Lucia</v>
      </c>
      <c r="C1880" s="472"/>
      <c r="D1880" s="473"/>
      <c r="E1880" s="474"/>
      <c r="F1880" s="475"/>
      <c r="G1880" s="520"/>
    </row>
    <row r="1881" spans="1:8" ht="19.899999999999999" customHeight="1" x14ac:dyDescent="0.2">
      <c r="A1881" s="519" t="s">
        <v>33</v>
      </c>
      <c r="B1881" s="476" t="str">
        <f>IFERROR(VALUE(LEFT(B1882,FIND(".",B1882)-1)),"")</f>
        <v/>
      </c>
      <c r="C1881" s="175">
        <f ca="1">IFERROR(VLOOKUP(B1881,T_Computo_Presupuesto,2,FALSE),0)</f>
        <v>0</v>
      </c>
      <c r="D1881" s="175"/>
      <c r="E1881" s="474"/>
      <c r="F1881" s="475"/>
      <c r="G1881" s="520"/>
    </row>
    <row r="1882" spans="1:8" ht="19.899999999999999" customHeight="1" x14ac:dyDescent="0.2">
      <c r="A1882" s="519" t="s">
        <v>22</v>
      </c>
      <c r="B1882" s="477" t="str">
        <f>IFERROR(VLOOKUP(COUNTIF($A$1:A1882,"ANALISIS DE PRECIOS"),T_NumeroItem,2,FALSE),"")</f>
        <v/>
      </c>
      <c r="C1882" s="719">
        <f ca="1">IFERROR(VLOOKUP(B1882,T_Computo_Presupuesto,2,FALSE),0)</f>
        <v>0</v>
      </c>
      <c r="D1882" s="719"/>
      <c r="E1882" s="719"/>
      <c r="F1882" s="472" t="s">
        <v>23</v>
      </c>
      <c r="G1882" s="521">
        <f ca="1">IFERROR(VLOOKUP(B1882,T_Computo_Presupuesto,4,FALSE),0)</f>
        <v>0</v>
      </c>
    </row>
    <row r="1883" spans="1:8" ht="19.899999999999999" customHeight="1" x14ac:dyDescent="0.2">
      <c r="A1883" s="519"/>
      <c r="B1883" s="472"/>
      <c r="C1883" s="175"/>
      <c r="D1883" s="473"/>
      <c r="E1883" s="474"/>
      <c r="F1883" s="175"/>
      <c r="G1883" s="522"/>
    </row>
    <row r="1884" spans="1:8" ht="19.899999999999999" customHeight="1" x14ac:dyDescent="0.2">
      <c r="A1884" s="523"/>
      <c r="B1884" s="478"/>
      <c r="C1884" s="479" t="s">
        <v>999</v>
      </c>
      <c r="D1884" s="478"/>
      <c r="E1884" s="478"/>
      <c r="F1884" s="478"/>
      <c r="G1884" s="524"/>
    </row>
    <row r="1885" spans="1:8" ht="19.899999999999999" customHeight="1" x14ac:dyDescent="0.2">
      <c r="A1885" s="519"/>
      <c r="B1885" s="480"/>
      <c r="C1885" s="175"/>
      <c r="D1885" s="473"/>
      <c r="E1885" s="474"/>
      <c r="F1885" s="472"/>
      <c r="G1885" s="521"/>
    </row>
    <row r="1886" spans="1:8" ht="19.899999999999999" customHeight="1" x14ac:dyDescent="0.2">
      <c r="A1886" s="519"/>
      <c r="B1886" s="480"/>
      <c r="C1886" s="481" t="s">
        <v>1000</v>
      </c>
      <c r="D1886" s="482" t="s">
        <v>24</v>
      </c>
      <c r="E1886" s="482" t="s">
        <v>1001</v>
      </c>
      <c r="F1886" s="482" t="s">
        <v>1002</v>
      </c>
      <c r="G1886" s="481" t="s">
        <v>1003</v>
      </c>
    </row>
    <row r="1887" spans="1:8"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1004</v>
      </c>
      <c r="D1898" s="472" t="s">
        <v>1001</v>
      </c>
      <c r="E1898" s="538">
        <f>SUMPRODUCT(D1887:D1896,E1887:E1896)</f>
        <v>0</v>
      </c>
      <c r="F1898" s="472" t="s">
        <v>1005</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1006</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06" t="s">
        <v>576</v>
      </c>
      <c r="B1902" s="707"/>
      <c r="C1902" s="708" t="s">
        <v>0</v>
      </c>
      <c r="D1902" s="720" t="s">
        <v>1866</v>
      </c>
      <c r="E1902" s="720" t="s">
        <v>1865</v>
      </c>
      <c r="F1902" s="712" t="s">
        <v>1007</v>
      </c>
      <c r="G1902" s="714" t="s">
        <v>26</v>
      </c>
    </row>
    <row r="1903" spans="1:7" ht="19.899999999999999" customHeight="1" x14ac:dyDescent="0.2">
      <c r="A1903" s="491" t="s">
        <v>577</v>
      </c>
      <c r="B1903" s="491" t="s">
        <v>578</v>
      </c>
      <c r="C1903" s="709"/>
      <c r="D1903" s="721"/>
      <c r="E1903" s="711"/>
      <c r="F1903" s="713"/>
      <c r="G1903" s="715"/>
    </row>
    <row r="1904" spans="1:7" ht="19.899999999999999" customHeight="1" x14ac:dyDescent="0.2">
      <c r="A1904" s="527"/>
      <c r="B1904" s="175"/>
      <c r="C1904" s="469" t="s">
        <v>1008</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27</v>
      </c>
      <c r="G1914" s="531">
        <f>SUBTOTAL(9,G1905:G1913)</f>
        <v>0</v>
      </c>
    </row>
    <row r="1915" spans="1:7" ht="19.899999999999999" customHeight="1" x14ac:dyDescent="0.2">
      <c r="A1915" s="527"/>
      <c r="B1915" s="175"/>
      <c r="C1915" s="469" t="s">
        <v>713</v>
      </c>
      <c r="D1915" s="473"/>
      <c r="E1915" s="474"/>
      <c r="F1915" s="475"/>
      <c r="G1915" s="528"/>
    </row>
    <row r="1916" spans="1:7" ht="19.899999999999999" customHeight="1" x14ac:dyDescent="0.2">
      <c r="A1916" s="706" t="s">
        <v>576</v>
      </c>
      <c r="B1916" s="707"/>
      <c r="C1916" s="708" t="s">
        <v>0</v>
      </c>
      <c r="D1916" s="710" t="s">
        <v>24</v>
      </c>
      <c r="E1916" s="710" t="s">
        <v>1832</v>
      </c>
      <c r="F1916" s="712" t="s">
        <v>1007</v>
      </c>
      <c r="G1916" s="714" t="s">
        <v>26</v>
      </c>
    </row>
    <row r="1917" spans="1:7" ht="19.899999999999999" customHeight="1" x14ac:dyDescent="0.2">
      <c r="A1917" s="491" t="s">
        <v>577</v>
      </c>
      <c r="B1917" s="491" t="s">
        <v>578</v>
      </c>
      <c r="C1917" s="709"/>
      <c r="D1917" s="711"/>
      <c r="E1917" s="711"/>
      <c r="F1917" s="713"/>
      <c r="G1917" s="715"/>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28</v>
      </c>
      <c r="G1925" s="532">
        <f>SUBTOTAL(9,G1918:G1924)</f>
        <v>0</v>
      </c>
    </row>
    <row r="1926" spans="1:7" ht="19.899999999999999" customHeight="1" x14ac:dyDescent="0.2">
      <c r="A1926" s="527"/>
      <c r="B1926" s="175"/>
      <c r="C1926" s="469" t="s">
        <v>1014</v>
      </c>
      <c r="D1926" s="473"/>
      <c r="E1926" s="474"/>
      <c r="F1926" s="475"/>
      <c r="G1926" s="528"/>
    </row>
    <row r="1927" spans="1:7" ht="19.899999999999999" customHeight="1" x14ac:dyDescent="0.2">
      <c r="A1927" s="706" t="s">
        <v>576</v>
      </c>
      <c r="B1927" s="707"/>
      <c r="C1927" s="708" t="s">
        <v>0</v>
      </c>
      <c r="D1927" s="708" t="s">
        <v>1867</v>
      </c>
      <c r="E1927" s="710" t="s">
        <v>24</v>
      </c>
      <c r="F1927" s="712" t="s">
        <v>25</v>
      </c>
      <c r="G1927" s="714" t="s">
        <v>26</v>
      </c>
    </row>
    <row r="1928" spans="1:7" ht="19.899999999999999" customHeight="1" x14ac:dyDescent="0.2">
      <c r="A1928" s="491" t="s">
        <v>577</v>
      </c>
      <c r="B1928" s="491" t="s">
        <v>578</v>
      </c>
      <c r="C1928" s="709"/>
      <c r="D1928" s="709"/>
      <c r="E1928" s="711"/>
      <c r="F1928" s="713"/>
      <c r="G1928" s="715"/>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7"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7"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7"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7" ht="19.899999999999999" customHeight="1" x14ac:dyDescent="0.2">
      <c r="A1940" s="527"/>
      <c r="B1940" s="175"/>
      <c r="C1940" s="175"/>
      <c r="D1940" s="473"/>
      <c r="E1940" s="474"/>
      <c r="F1940" s="495" t="s">
        <v>29</v>
      </c>
      <c r="G1940" s="532">
        <f>SUBTOTAL(9,G1929:G1939)</f>
        <v>0</v>
      </c>
    </row>
    <row r="1941" spans="1:7" ht="19.899999999999999" customHeight="1" x14ac:dyDescent="0.2">
      <c r="A1941" s="527"/>
      <c r="B1941" s="175"/>
      <c r="C1941" s="469" t="s">
        <v>1015</v>
      </c>
      <c r="D1941" s="473"/>
      <c r="E1941" s="474"/>
      <c r="F1941" s="475"/>
      <c r="G1941" s="528"/>
    </row>
    <row r="1942" spans="1:7" ht="19.899999999999999" customHeight="1" x14ac:dyDescent="0.2">
      <c r="A1942" s="706" t="s">
        <v>576</v>
      </c>
      <c r="B1942" s="707"/>
      <c r="C1942" s="708" t="s">
        <v>0</v>
      </c>
      <c r="D1942" s="708" t="s">
        <v>1867</v>
      </c>
      <c r="E1942" s="710" t="s">
        <v>24</v>
      </c>
      <c r="F1942" s="712" t="s">
        <v>25</v>
      </c>
      <c r="G1942" s="714" t="s">
        <v>26</v>
      </c>
    </row>
    <row r="1943" spans="1:7" ht="19.899999999999999" customHeight="1" x14ac:dyDescent="0.2">
      <c r="A1943" s="491" t="s">
        <v>577</v>
      </c>
      <c r="B1943" s="491" t="s">
        <v>578</v>
      </c>
      <c r="C1943" s="709"/>
      <c r="D1943" s="709"/>
      <c r="E1943" s="711"/>
      <c r="F1943" s="713"/>
      <c r="G1943" s="715"/>
    </row>
    <row r="1944" spans="1:7"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x14ac:dyDescent="0.2">
      <c r="A1946" s="527"/>
      <c r="B1946" s="175"/>
      <c r="C1946" s="175"/>
      <c r="D1946" s="473"/>
      <c r="E1946" s="474"/>
      <c r="F1946" s="495" t="s">
        <v>1016</v>
      </c>
      <c r="G1946" s="532">
        <f>SUBTOTAL(9,G1944:G1945)</f>
        <v>0</v>
      </c>
    </row>
    <row r="1947" spans="1:7" ht="19.899999999999999" customHeight="1" x14ac:dyDescent="0.2">
      <c r="A1947" s="530"/>
      <c r="B1947" s="473"/>
      <c r="C1947" s="175"/>
      <c r="D1947" s="473"/>
      <c r="E1947" s="474"/>
      <c r="F1947" s="475"/>
      <c r="G1947" s="528"/>
    </row>
    <row r="1948" spans="1:7" ht="19.899999999999999" customHeight="1" x14ac:dyDescent="0.2">
      <c r="A1948" s="588" t="str">
        <f>B1882</f>
        <v/>
      </c>
      <c r="B1948" s="585">
        <f ca="1">C1882</f>
        <v>0</v>
      </c>
      <c r="C1948" s="473"/>
      <c r="D1948" s="473" t="s">
        <v>1833</v>
      </c>
      <c r="E1948" s="586"/>
      <c r="F1948" s="587" t="str">
        <f ca="1">"$/"&amp;G1882</f>
        <v>$/0</v>
      </c>
      <c r="G1948" s="537">
        <f>SUBTOTAL(9,G1905:G1947)</f>
        <v>0</v>
      </c>
    </row>
    <row r="1949" spans="1:7" ht="19.899999999999999" customHeight="1" x14ac:dyDescent="0.2">
      <c r="A1949" s="533"/>
      <c r="B1949" s="534"/>
      <c r="C1949" s="535"/>
      <c r="D1949" s="535" t="s">
        <v>2043</v>
      </c>
      <c r="E1949" s="536"/>
      <c r="F1949" s="589" t="str">
        <f ca="1">"$/"&amp;G1882</f>
        <v>$/0</v>
      </c>
      <c r="G1949" s="537">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16" t="s">
        <v>31</v>
      </c>
      <c r="B1951" s="717"/>
      <c r="C1951" s="717"/>
      <c r="D1951" s="717"/>
      <c r="E1951" s="717"/>
      <c r="F1951" s="717"/>
      <c r="G1951" s="718"/>
    </row>
    <row r="1952" spans="1:7" ht="19.899999999999999" customHeight="1" x14ac:dyDescent="0.2">
      <c r="A1952" s="516" t="s">
        <v>711</v>
      </c>
      <c r="B1952" s="467" t="str">
        <f>Comitente</f>
        <v>DIRECCIÓN PROVINCIAL DE VIALIDAD</v>
      </c>
      <c r="C1952" s="468"/>
      <c r="D1952" s="469"/>
      <c r="E1952" s="469"/>
      <c r="F1952" s="470"/>
      <c r="G1952" s="517"/>
    </row>
    <row r="1953" spans="1:7" ht="19.899999999999999" customHeight="1" x14ac:dyDescent="0.2">
      <c r="A1953" s="516" t="s">
        <v>712</v>
      </c>
      <c r="B1953" s="467">
        <f>Contratista</f>
        <v>0</v>
      </c>
      <c r="C1953" s="471"/>
      <c r="D1953" s="471"/>
      <c r="E1953" s="471"/>
      <c r="F1953" s="467"/>
      <c r="G1953" s="518"/>
    </row>
    <row r="1954" spans="1:7" ht="19.899999999999999" customHeight="1" x14ac:dyDescent="0.2">
      <c r="A1954" s="516" t="s">
        <v>21</v>
      </c>
      <c r="B1954" s="467" t="str">
        <f>Obra</f>
        <v>OBRA BÁSICA Y PAVIMENTACIÓN CALLE GÜEMES</v>
      </c>
      <c r="C1954" s="471"/>
      <c r="D1954" s="471"/>
      <c r="E1954" s="471"/>
      <c r="F1954" s="467" t="s">
        <v>32</v>
      </c>
      <c r="G1954" s="518">
        <f>Fecha_Base</f>
        <v>0</v>
      </c>
    </row>
    <row r="1955" spans="1:7" ht="19.899999999999999" customHeight="1" x14ac:dyDescent="0.2">
      <c r="A1955" s="519" t="s">
        <v>710</v>
      </c>
      <c r="B1955" s="472" t="str">
        <f>Ubicación</f>
        <v>Rawson - Santa Lucia</v>
      </c>
      <c r="C1955" s="472"/>
      <c r="D1955" s="473"/>
      <c r="E1955" s="474"/>
      <c r="F1955" s="475"/>
      <c r="G1955" s="520"/>
    </row>
    <row r="1956" spans="1:7" ht="19.899999999999999" customHeight="1" x14ac:dyDescent="0.2">
      <c r="A1956" s="519" t="s">
        <v>33</v>
      </c>
      <c r="B1956" s="476" t="str">
        <f>IFERROR(VALUE(LEFT(B1957,FIND(".",B1957)-1)),"")</f>
        <v/>
      </c>
      <c r="C1956" s="175">
        <f ca="1">IFERROR(VLOOKUP(B1956,T_Computo_Presupuesto,2,FALSE),0)</f>
        <v>0</v>
      </c>
      <c r="D1956" s="175"/>
      <c r="E1956" s="474"/>
      <c r="F1956" s="475"/>
      <c r="G1956" s="520"/>
    </row>
    <row r="1957" spans="1:7" ht="19.899999999999999" customHeight="1" x14ac:dyDescent="0.2">
      <c r="A1957" s="519" t="s">
        <v>22</v>
      </c>
      <c r="B1957" s="477" t="str">
        <f>IFERROR(VLOOKUP(COUNTIF($A$1:A1957,"ANALISIS DE PRECIOS"),T_NumeroItem,2,FALSE),"")</f>
        <v/>
      </c>
      <c r="C1957" s="719">
        <f ca="1">IFERROR(VLOOKUP(B1957,T_Computo_Presupuesto,2,FALSE),0)</f>
        <v>0</v>
      </c>
      <c r="D1957" s="719"/>
      <c r="E1957" s="719"/>
      <c r="F1957" s="472" t="s">
        <v>23</v>
      </c>
      <c r="G1957" s="521">
        <f ca="1">IFERROR(VLOOKUP(B1957,T_Computo_Presupuesto,4,FALSE),0)</f>
        <v>0</v>
      </c>
    </row>
    <row r="1958" spans="1:7" ht="19.899999999999999" customHeight="1" x14ac:dyDescent="0.2">
      <c r="A1958" s="519"/>
      <c r="B1958" s="472"/>
      <c r="C1958" s="175"/>
      <c r="D1958" s="473"/>
      <c r="E1958" s="474"/>
      <c r="F1958" s="175"/>
      <c r="G1958" s="522"/>
    </row>
    <row r="1959" spans="1:7" ht="19.899999999999999" customHeight="1" x14ac:dyDescent="0.2">
      <c r="A1959" s="523"/>
      <c r="B1959" s="478"/>
      <c r="C1959" s="479" t="s">
        <v>999</v>
      </c>
      <c r="D1959" s="478"/>
      <c r="E1959" s="478"/>
      <c r="F1959" s="478"/>
      <c r="G1959" s="524"/>
    </row>
    <row r="1960" spans="1:7" ht="19.899999999999999" customHeight="1" x14ac:dyDescent="0.2">
      <c r="A1960" s="519"/>
      <c r="B1960" s="480"/>
      <c r="C1960" s="175"/>
      <c r="D1960" s="473"/>
      <c r="E1960" s="474"/>
      <c r="F1960" s="472"/>
      <c r="G1960" s="521"/>
    </row>
    <row r="1961" spans="1:7" ht="19.899999999999999" customHeight="1" x14ac:dyDescent="0.2">
      <c r="A1961" s="519"/>
      <c r="B1961" s="480"/>
      <c r="C1961" s="481" t="s">
        <v>1000</v>
      </c>
      <c r="D1961" s="482" t="s">
        <v>24</v>
      </c>
      <c r="E1961" s="482" t="s">
        <v>1001</v>
      </c>
      <c r="F1961" s="482" t="s">
        <v>1002</v>
      </c>
      <c r="G1961" s="481" t="s">
        <v>1003</v>
      </c>
    </row>
    <row r="1962" spans="1:7"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x14ac:dyDescent="0.2">
      <c r="A1963" s="519"/>
      <c r="B1963" s="480"/>
      <c r="C1963" s="483"/>
      <c r="D1963" s="484"/>
      <c r="E1963" s="485">
        <f t="shared" si="442"/>
        <v>0</v>
      </c>
      <c r="F1963" s="486">
        <f t="shared" si="443"/>
        <v>0</v>
      </c>
      <c r="G1963" s="486">
        <f>ROUND(D1963*F1963,2)</f>
        <v>0</v>
      </c>
    </row>
    <row r="1964" spans="1:7" ht="19.899999999999999" customHeight="1" x14ac:dyDescent="0.2">
      <c r="A1964" s="519"/>
      <c r="B1964" s="480"/>
      <c r="C1964" s="483"/>
      <c r="D1964" s="484"/>
      <c r="E1964" s="485">
        <f t="shared" si="442"/>
        <v>0</v>
      </c>
      <c r="F1964" s="486">
        <f t="shared" si="443"/>
        <v>0</v>
      </c>
      <c r="G1964" s="486">
        <f>ROUND(D1964*F1964,2)</f>
        <v>0</v>
      </c>
    </row>
    <row r="1965" spans="1:7" ht="19.899999999999999" customHeight="1" x14ac:dyDescent="0.2">
      <c r="A1965" s="519"/>
      <c r="B1965" s="480"/>
      <c r="C1965" s="483"/>
      <c r="D1965" s="484"/>
      <c r="E1965" s="485">
        <f t="shared" si="442"/>
        <v>0</v>
      </c>
      <c r="F1965" s="486">
        <f t="shared" si="443"/>
        <v>0</v>
      </c>
      <c r="G1965" s="486">
        <f>ROUND(D1965*F1965,2)</f>
        <v>0</v>
      </c>
    </row>
    <row r="1966" spans="1:7" ht="19.899999999999999" customHeight="1" x14ac:dyDescent="0.2">
      <c r="A1966" s="519"/>
      <c r="B1966" s="480"/>
      <c r="C1966" s="483"/>
      <c r="D1966" s="484"/>
      <c r="E1966" s="485">
        <f t="shared" si="442"/>
        <v>0</v>
      </c>
      <c r="F1966" s="486">
        <f t="shared" si="443"/>
        <v>0</v>
      </c>
      <c r="G1966" s="486">
        <f t="shared" ref="G1966:G1971" si="444">ROUND(D1966*F1966,2)</f>
        <v>0</v>
      </c>
    </row>
    <row r="1967" spans="1:7" ht="19.899999999999999" customHeight="1" x14ac:dyDescent="0.2">
      <c r="A1967" s="519"/>
      <c r="B1967" s="480"/>
      <c r="C1967" s="483"/>
      <c r="D1967" s="484"/>
      <c r="E1967" s="485">
        <f t="shared" si="442"/>
        <v>0</v>
      </c>
      <c r="F1967" s="486">
        <f t="shared" si="443"/>
        <v>0</v>
      </c>
      <c r="G1967" s="486">
        <f t="shared" si="444"/>
        <v>0</v>
      </c>
    </row>
    <row r="1968" spans="1:7"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1004</v>
      </c>
      <c r="D1973" s="472" t="s">
        <v>1001</v>
      </c>
      <c r="E1973" s="538">
        <f>SUMPRODUCT(D1962:D1971,E1962:E1971)</f>
        <v>0</v>
      </c>
      <c r="F1973" s="472" t="s">
        <v>1005</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1006</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06" t="s">
        <v>576</v>
      </c>
      <c r="B1977" s="707"/>
      <c r="C1977" s="708" t="s">
        <v>0</v>
      </c>
      <c r="D1977" s="720" t="s">
        <v>1866</v>
      </c>
      <c r="E1977" s="720" t="s">
        <v>1865</v>
      </c>
      <c r="F1977" s="712" t="s">
        <v>1007</v>
      </c>
      <c r="G1977" s="714" t="s">
        <v>26</v>
      </c>
    </row>
    <row r="1978" spans="1:7" ht="19.899999999999999" customHeight="1" x14ac:dyDescent="0.2">
      <c r="A1978" s="491" t="s">
        <v>577</v>
      </c>
      <c r="B1978" s="491" t="s">
        <v>578</v>
      </c>
      <c r="C1978" s="709"/>
      <c r="D1978" s="721"/>
      <c r="E1978" s="711"/>
      <c r="F1978" s="713"/>
      <c r="G1978" s="715"/>
    </row>
    <row r="1979" spans="1:7" ht="19.899999999999999" customHeight="1" x14ac:dyDescent="0.2">
      <c r="A1979" s="527"/>
      <c r="B1979" s="175"/>
      <c r="C1979" s="469" t="s">
        <v>1008</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27</v>
      </c>
      <c r="G1989" s="531">
        <f>SUBTOTAL(9,G1980:G1988)</f>
        <v>0</v>
      </c>
    </row>
    <row r="1990" spans="1:7" ht="19.899999999999999" customHeight="1" x14ac:dyDescent="0.2">
      <c r="A1990" s="527"/>
      <c r="B1990" s="175"/>
      <c r="C1990" s="469" t="s">
        <v>713</v>
      </c>
      <c r="D1990" s="473"/>
      <c r="E1990" s="474"/>
      <c r="F1990" s="475"/>
      <c r="G1990" s="528"/>
    </row>
    <row r="1991" spans="1:7" ht="19.899999999999999" customHeight="1" x14ac:dyDescent="0.2">
      <c r="A1991" s="706" t="s">
        <v>576</v>
      </c>
      <c r="B1991" s="707"/>
      <c r="C1991" s="708" t="s">
        <v>0</v>
      </c>
      <c r="D1991" s="710" t="s">
        <v>24</v>
      </c>
      <c r="E1991" s="710" t="s">
        <v>1832</v>
      </c>
      <c r="F1991" s="712" t="s">
        <v>1007</v>
      </c>
      <c r="G1991" s="714" t="s">
        <v>26</v>
      </c>
    </row>
    <row r="1992" spans="1:7" ht="19.899999999999999" customHeight="1" x14ac:dyDescent="0.2">
      <c r="A1992" s="491" t="s">
        <v>577</v>
      </c>
      <c r="B1992" s="491" t="s">
        <v>578</v>
      </c>
      <c r="C1992" s="709"/>
      <c r="D1992" s="711"/>
      <c r="E1992" s="711"/>
      <c r="F1992" s="713"/>
      <c r="G1992" s="715"/>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28</v>
      </c>
      <c r="G2000" s="532">
        <f>SUBTOTAL(9,G1993:G1999)</f>
        <v>0</v>
      </c>
    </row>
    <row r="2001" spans="1:7" ht="19.899999999999999" customHeight="1" x14ac:dyDescent="0.2">
      <c r="A2001" s="527"/>
      <c r="B2001" s="175"/>
      <c r="C2001" s="469" t="s">
        <v>1014</v>
      </c>
      <c r="D2001" s="473"/>
      <c r="E2001" s="474"/>
      <c r="F2001" s="475"/>
      <c r="G2001" s="528"/>
    </row>
    <row r="2002" spans="1:7" ht="19.899999999999999" customHeight="1" x14ac:dyDescent="0.2">
      <c r="A2002" s="706" t="s">
        <v>576</v>
      </c>
      <c r="B2002" s="707"/>
      <c r="C2002" s="708" t="s">
        <v>0</v>
      </c>
      <c r="D2002" s="708" t="s">
        <v>1867</v>
      </c>
      <c r="E2002" s="710" t="s">
        <v>24</v>
      </c>
      <c r="F2002" s="712" t="s">
        <v>25</v>
      </c>
      <c r="G2002" s="714" t="s">
        <v>26</v>
      </c>
    </row>
    <row r="2003" spans="1:7" ht="19.899999999999999" customHeight="1" x14ac:dyDescent="0.2">
      <c r="A2003" s="491" t="s">
        <v>577</v>
      </c>
      <c r="B2003" s="491" t="s">
        <v>578</v>
      </c>
      <c r="C2003" s="709"/>
      <c r="D2003" s="709"/>
      <c r="E2003" s="711"/>
      <c r="F2003" s="713"/>
      <c r="G2003" s="715"/>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29</v>
      </c>
      <c r="G2015" s="532">
        <f>SUBTOTAL(9,G2004:G2014)</f>
        <v>0</v>
      </c>
    </row>
    <row r="2016" spans="1:7" ht="19.899999999999999" customHeight="1" x14ac:dyDescent="0.2">
      <c r="A2016" s="527"/>
      <c r="B2016" s="175"/>
      <c r="C2016" s="469" t="s">
        <v>1015</v>
      </c>
      <c r="D2016" s="473"/>
      <c r="E2016" s="474"/>
      <c r="F2016" s="475"/>
      <c r="G2016" s="528"/>
    </row>
    <row r="2017" spans="1:7" ht="19.899999999999999" customHeight="1" x14ac:dyDescent="0.2">
      <c r="A2017" s="706" t="s">
        <v>576</v>
      </c>
      <c r="B2017" s="707"/>
      <c r="C2017" s="708" t="s">
        <v>0</v>
      </c>
      <c r="D2017" s="708" t="s">
        <v>1867</v>
      </c>
      <c r="E2017" s="710" t="s">
        <v>24</v>
      </c>
      <c r="F2017" s="712" t="s">
        <v>25</v>
      </c>
      <c r="G2017" s="714" t="s">
        <v>26</v>
      </c>
    </row>
    <row r="2018" spans="1:7" ht="19.899999999999999" customHeight="1" x14ac:dyDescent="0.2">
      <c r="A2018" s="491" t="s">
        <v>577</v>
      </c>
      <c r="B2018" s="491" t="s">
        <v>578</v>
      </c>
      <c r="C2018" s="709"/>
      <c r="D2018" s="709"/>
      <c r="E2018" s="711"/>
      <c r="F2018" s="713"/>
      <c r="G2018" s="715"/>
    </row>
    <row r="2019" spans="1:7"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x14ac:dyDescent="0.2">
      <c r="A2021" s="527"/>
      <c r="B2021" s="175"/>
      <c r="C2021" s="175"/>
      <c r="D2021" s="473"/>
      <c r="E2021" s="474"/>
      <c r="F2021" s="495" t="s">
        <v>1016</v>
      </c>
      <c r="G2021" s="532">
        <f>SUBTOTAL(9,G2019:G2020)</f>
        <v>0</v>
      </c>
    </row>
    <row r="2022" spans="1:7" ht="19.899999999999999" customHeight="1" x14ac:dyDescent="0.2">
      <c r="A2022" s="530"/>
      <c r="B2022" s="473"/>
      <c r="C2022" s="175"/>
      <c r="D2022" s="473"/>
      <c r="E2022" s="474"/>
      <c r="F2022" s="475"/>
      <c r="G2022" s="528"/>
    </row>
    <row r="2023" spans="1:7" ht="19.899999999999999" customHeight="1" x14ac:dyDescent="0.2">
      <c r="A2023" s="588" t="str">
        <f>B1957</f>
        <v/>
      </c>
      <c r="B2023" s="585">
        <f ca="1">C1957</f>
        <v>0</v>
      </c>
      <c r="C2023" s="473"/>
      <c r="D2023" s="473" t="s">
        <v>1833</v>
      </c>
      <c r="E2023" s="586"/>
      <c r="F2023" s="587" t="str">
        <f ca="1">"$/"&amp;G1957</f>
        <v>$/0</v>
      </c>
      <c r="G2023" s="537">
        <f>SUBTOTAL(9,G1980:G2022)</f>
        <v>0</v>
      </c>
    </row>
    <row r="2024" spans="1:7" ht="19.899999999999999" customHeight="1" x14ac:dyDescent="0.2">
      <c r="A2024" s="533"/>
      <c r="B2024" s="534"/>
      <c r="C2024" s="535"/>
      <c r="D2024" s="535" t="s">
        <v>2043</v>
      </c>
      <c r="E2024" s="536"/>
      <c r="F2024" s="589" t="str">
        <f ca="1">"$/"&amp;G1957</f>
        <v>$/0</v>
      </c>
      <c r="G2024" s="537">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16" t="s">
        <v>31</v>
      </c>
      <c r="B2026" s="717"/>
      <c r="C2026" s="717"/>
      <c r="D2026" s="717"/>
      <c r="E2026" s="717"/>
      <c r="F2026" s="717"/>
      <c r="G2026" s="718"/>
    </row>
    <row r="2027" spans="1:7" ht="19.899999999999999" customHeight="1" x14ac:dyDescent="0.2">
      <c r="A2027" s="516" t="s">
        <v>711</v>
      </c>
      <c r="B2027" s="467" t="str">
        <f>Comitente</f>
        <v>DIRECCIÓN PROVINCIAL DE VIALIDAD</v>
      </c>
      <c r="C2027" s="468"/>
      <c r="D2027" s="469"/>
      <c r="E2027" s="469"/>
      <c r="F2027" s="470"/>
      <c r="G2027" s="517"/>
    </row>
    <row r="2028" spans="1:7" ht="19.899999999999999" customHeight="1" x14ac:dyDescent="0.2">
      <c r="A2028" s="516" t="s">
        <v>712</v>
      </c>
      <c r="B2028" s="467">
        <f>Contratista</f>
        <v>0</v>
      </c>
      <c r="C2028" s="471"/>
      <c r="D2028" s="471"/>
      <c r="E2028" s="471"/>
      <c r="F2028" s="467"/>
      <c r="G2028" s="518"/>
    </row>
    <row r="2029" spans="1:7" ht="19.899999999999999" customHeight="1" x14ac:dyDescent="0.2">
      <c r="A2029" s="516" t="s">
        <v>21</v>
      </c>
      <c r="B2029" s="467" t="str">
        <f>Obra</f>
        <v>OBRA BÁSICA Y PAVIMENTACIÓN CALLE GÜEMES</v>
      </c>
      <c r="C2029" s="471"/>
      <c r="D2029" s="471"/>
      <c r="E2029" s="471"/>
      <c r="F2029" s="467" t="s">
        <v>32</v>
      </c>
      <c r="G2029" s="518">
        <f>Fecha_Base</f>
        <v>0</v>
      </c>
    </row>
    <row r="2030" spans="1:7" ht="19.899999999999999" customHeight="1" x14ac:dyDescent="0.2">
      <c r="A2030" s="519" t="s">
        <v>710</v>
      </c>
      <c r="B2030" s="472" t="str">
        <f>Ubicación</f>
        <v>Rawson - Santa Lucia</v>
      </c>
      <c r="C2030" s="472"/>
      <c r="D2030" s="473"/>
      <c r="E2030" s="474"/>
      <c r="F2030" s="475"/>
      <c r="G2030" s="520"/>
    </row>
    <row r="2031" spans="1:7" ht="19.899999999999999" customHeight="1" x14ac:dyDescent="0.2">
      <c r="A2031" s="519" t="s">
        <v>33</v>
      </c>
      <c r="B2031" s="476" t="str">
        <f>IFERROR(VALUE(LEFT(B2032,FIND(".",B2032)-1)),"")</f>
        <v/>
      </c>
      <c r="C2031" s="175">
        <f ca="1">IFERROR(VLOOKUP(B2031,T_Computo_Presupuesto,2,FALSE),0)</f>
        <v>0</v>
      </c>
      <c r="D2031" s="175"/>
      <c r="E2031" s="474"/>
      <c r="F2031" s="475"/>
      <c r="G2031" s="520"/>
    </row>
    <row r="2032" spans="1:7" ht="19.899999999999999" customHeight="1" x14ac:dyDescent="0.2">
      <c r="A2032" s="519" t="s">
        <v>22</v>
      </c>
      <c r="B2032" s="477" t="str">
        <f>IFERROR(VLOOKUP(COUNTIF($A$1:A2032,"ANALISIS DE PRECIOS"),T_NumeroItem,2,FALSE),"")</f>
        <v/>
      </c>
      <c r="C2032" s="719">
        <f ca="1">IFERROR(VLOOKUP(B2032,T_Computo_Presupuesto,2,FALSE),0)</f>
        <v>0</v>
      </c>
      <c r="D2032" s="719"/>
      <c r="E2032" s="719"/>
      <c r="F2032" s="472" t="s">
        <v>23</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999</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1000</v>
      </c>
      <c r="D2036" s="482" t="s">
        <v>24</v>
      </c>
      <c r="E2036" s="482" t="s">
        <v>1001</v>
      </c>
      <c r="F2036" s="482" t="s">
        <v>1002</v>
      </c>
      <c r="G2036" s="481" t="s">
        <v>1003</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1004</v>
      </c>
      <c r="D2048" s="472" t="s">
        <v>1001</v>
      </c>
      <c r="E2048" s="538">
        <f>SUMPRODUCT(D2037:D2046,E2037:E2046)</f>
        <v>0</v>
      </c>
      <c r="F2048" s="472" t="s">
        <v>1005</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1006</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06" t="s">
        <v>576</v>
      </c>
      <c r="B2052" s="707"/>
      <c r="C2052" s="708" t="s">
        <v>0</v>
      </c>
      <c r="D2052" s="720" t="s">
        <v>1866</v>
      </c>
      <c r="E2052" s="720" t="s">
        <v>1865</v>
      </c>
      <c r="F2052" s="712" t="s">
        <v>1007</v>
      </c>
      <c r="G2052" s="714" t="s">
        <v>26</v>
      </c>
    </row>
    <row r="2053" spans="1:7" ht="19.899999999999999" customHeight="1" x14ac:dyDescent="0.2">
      <c r="A2053" s="491" t="s">
        <v>577</v>
      </c>
      <c r="B2053" s="491" t="s">
        <v>578</v>
      </c>
      <c r="C2053" s="709"/>
      <c r="D2053" s="721"/>
      <c r="E2053" s="711"/>
      <c r="F2053" s="713"/>
      <c r="G2053" s="715"/>
    </row>
    <row r="2054" spans="1:7" ht="19.899999999999999" customHeight="1" x14ac:dyDescent="0.2">
      <c r="A2054" s="527"/>
      <c r="B2054" s="175"/>
      <c r="C2054" s="469" t="s">
        <v>1008</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27</v>
      </c>
      <c r="G2064" s="531">
        <f>SUBTOTAL(9,G2055:G2063)</f>
        <v>0</v>
      </c>
    </row>
    <row r="2065" spans="1:7" ht="19.899999999999999" customHeight="1" x14ac:dyDescent="0.2">
      <c r="A2065" s="527"/>
      <c r="B2065" s="175"/>
      <c r="C2065" s="469" t="s">
        <v>713</v>
      </c>
      <c r="D2065" s="473"/>
      <c r="E2065" s="474"/>
      <c r="F2065" s="475"/>
      <c r="G2065" s="528"/>
    </row>
    <row r="2066" spans="1:7" ht="19.899999999999999" customHeight="1" x14ac:dyDescent="0.2">
      <c r="A2066" s="706" t="s">
        <v>576</v>
      </c>
      <c r="B2066" s="707"/>
      <c r="C2066" s="708" t="s">
        <v>0</v>
      </c>
      <c r="D2066" s="710" t="s">
        <v>24</v>
      </c>
      <c r="E2066" s="710" t="s">
        <v>1832</v>
      </c>
      <c r="F2066" s="712" t="s">
        <v>1007</v>
      </c>
      <c r="G2066" s="714" t="s">
        <v>26</v>
      </c>
    </row>
    <row r="2067" spans="1:7" ht="19.899999999999999" customHeight="1" x14ac:dyDescent="0.2">
      <c r="A2067" s="491" t="s">
        <v>577</v>
      </c>
      <c r="B2067" s="491" t="s">
        <v>578</v>
      </c>
      <c r="C2067" s="709"/>
      <c r="D2067" s="711"/>
      <c r="E2067" s="711"/>
      <c r="F2067" s="713"/>
      <c r="G2067" s="715"/>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28</v>
      </c>
      <c r="G2075" s="532">
        <f>SUBTOTAL(9,G2068:G2074)</f>
        <v>0</v>
      </c>
    </row>
    <row r="2076" spans="1:7" ht="19.899999999999999" customHeight="1" x14ac:dyDescent="0.2">
      <c r="A2076" s="527"/>
      <c r="B2076" s="175"/>
      <c r="C2076" s="469" t="s">
        <v>1014</v>
      </c>
      <c r="D2076" s="473"/>
      <c r="E2076" s="474"/>
      <c r="F2076" s="475"/>
      <c r="G2076" s="528"/>
    </row>
    <row r="2077" spans="1:7" ht="19.899999999999999" customHeight="1" x14ac:dyDescent="0.2">
      <c r="A2077" s="706" t="s">
        <v>576</v>
      </c>
      <c r="B2077" s="707"/>
      <c r="C2077" s="708" t="s">
        <v>0</v>
      </c>
      <c r="D2077" s="708" t="s">
        <v>1867</v>
      </c>
      <c r="E2077" s="710" t="s">
        <v>24</v>
      </c>
      <c r="F2077" s="712" t="s">
        <v>25</v>
      </c>
      <c r="G2077" s="714" t="s">
        <v>26</v>
      </c>
    </row>
    <row r="2078" spans="1:7" ht="19.899999999999999" customHeight="1" x14ac:dyDescent="0.2">
      <c r="A2078" s="491" t="s">
        <v>577</v>
      </c>
      <c r="B2078" s="491" t="s">
        <v>578</v>
      </c>
      <c r="C2078" s="709"/>
      <c r="D2078" s="709"/>
      <c r="E2078" s="711"/>
      <c r="F2078" s="713"/>
      <c r="G2078" s="715"/>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29</v>
      </c>
      <c r="G2090" s="532">
        <f>SUBTOTAL(9,G2079:G2089)</f>
        <v>0</v>
      </c>
    </row>
    <row r="2091" spans="1:7" ht="19.899999999999999" customHeight="1" x14ac:dyDescent="0.2">
      <c r="A2091" s="527"/>
      <c r="B2091" s="175"/>
      <c r="C2091" s="469" t="s">
        <v>1015</v>
      </c>
      <c r="D2091" s="473"/>
      <c r="E2091" s="474"/>
      <c r="F2091" s="475"/>
      <c r="G2091" s="528"/>
    </row>
    <row r="2092" spans="1:7" ht="19.899999999999999" customHeight="1" x14ac:dyDescent="0.2">
      <c r="A2092" s="706" t="s">
        <v>576</v>
      </c>
      <c r="B2092" s="707"/>
      <c r="C2092" s="708" t="s">
        <v>0</v>
      </c>
      <c r="D2092" s="708" t="s">
        <v>1867</v>
      </c>
      <c r="E2092" s="710" t="s">
        <v>24</v>
      </c>
      <c r="F2092" s="712" t="s">
        <v>25</v>
      </c>
      <c r="G2092" s="714" t="s">
        <v>26</v>
      </c>
    </row>
    <row r="2093" spans="1:7" ht="19.899999999999999" customHeight="1" x14ac:dyDescent="0.2">
      <c r="A2093" s="491" t="s">
        <v>577</v>
      </c>
      <c r="B2093" s="491" t="s">
        <v>578</v>
      </c>
      <c r="C2093" s="709"/>
      <c r="D2093" s="709"/>
      <c r="E2093" s="711"/>
      <c r="F2093" s="713"/>
      <c r="G2093" s="715"/>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1016</v>
      </c>
      <c r="G2096" s="532">
        <f>SUBTOTAL(9,G2094:G2095)</f>
        <v>0</v>
      </c>
    </row>
    <row r="2097" spans="1:8" ht="19.899999999999999" customHeight="1" x14ac:dyDescent="0.2">
      <c r="A2097" s="530"/>
      <c r="B2097" s="473"/>
      <c r="C2097" s="175"/>
      <c r="D2097" s="473"/>
      <c r="E2097" s="474"/>
      <c r="F2097" s="475"/>
      <c r="G2097" s="528"/>
    </row>
    <row r="2098" spans="1:8" ht="19.899999999999999" customHeight="1" x14ac:dyDescent="0.2">
      <c r="A2098" s="588" t="str">
        <f>B2032</f>
        <v/>
      </c>
      <c r="B2098" s="585">
        <f ca="1">C2032</f>
        <v>0</v>
      </c>
      <c r="C2098" s="473"/>
      <c r="D2098" s="473" t="s">
        <v>1833</v>
      </c>
      <c r="E2098" s="586"/>
      <c r="F2098" s="587" t="str">
        <f ca="1">"$/"&amp;G2032</f>
        <v>$/0</v>
      </c>
      <c r="G2098" s="537">
        <f>SUBTOTAL(9,G2055:G2097)</f>
        <v>0</v>
      </c>
    </row>
    <row r="2099" spans="1:8" ht="19.899999999999999" customHeight="1" x14ac:dyDescent="0.2">
      <c r="A2099" s="533"/>
      <c r="B2099" s="534"/>
      <c r="C2099" s="535"/>
      <c r="D2099" s="535" t="s">
        <v>2043</v>
      </c>
      <c r="E2099" s="536"/>
      <c r="F2099" s="589" t="str">
        <f ca="1">"$/"&amp;G2032</f>
        <v>$/0</v>
      </c>
      <c r="G2099" s="537">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16" t="s">
        <v>31</v>
      </c>
      <c r="B2101" s="717"/>
      <c r="C2101" s="717"/>
      <c r="D2101" s="717"/>
      <c r="E2101" s="717"/>
      <c r="F2101" s="717"/>
      <c r="G2101" s="718"/>
      <c r="H2101" s="65"/>
    </row>
    <row r="2102" spans="1:8" ht="19.899999999999999" customHeight="1" x14ac:dyDescent="0.2">
      <c r="A2102" s="516" t="s">
        <v>711</v>
      </c>
      <c r="B2102" s="467" t="str">
        <f>Comitente</f>
        <v>DIRECCIÓN PROVINCIAL DE VIALIDAD</v>
      </c>
      <c r="C2102" s="468"/>
      <c r="D2102" s="469"/>
      <c r="E2102" s="469"/>
      <c r="F2102" s="470"/>
      <c r="G2102" s="517"/>
      <c r="H2102" s="65"/>
    </row>
    <row r="2103" spans="1:8" ht="19.899999999999999" customHeight="1" x14ac:dyDescent="0.2">
      <c r="A2103" s="516" t="s">
        <v>712</v>
      </c>
      <c r="B2103" s="467">
        <f>Contratista</f>
        <v>0</v>
      </c>
      <c r="C2103" s="471"/>
      <c r="D2103" s="471"/>
      <c r="E2103" s="471"/>
      <c r="F2103" s="467"/>
      <c r="G2103" s="518"/>
      <c r="H2103" s="65"/>
    </row>
    <row r="2104" spans="1:8" ht="19.899999999999999" customHeight="1" x14ac:dyDescent="0.2">
      <c r="A2104" s="516" t="s">
        <v>21</v>
      </c>
      <c r="B2104" s="467" t="str">
        <f>Obra</f>
        <v>OBRA BÁSICA Y PAVIMENTACIÓN CALLE GÜEMES</v>
      </c>
      <c r="C2104" s="471"/>
      <c r="D2104" s="471"/>
      <c r="E2104" s="471"/>
      <c r="F2104" s="467" t="s">
        <v>32</v>
      </c>
      <c r="G2104" s="518">
        <f>Fecha_Base</f>
        <v>0</v>
      </c>
      <c r="H2104" s="65"/>
    </row>
    <row r="2105" spans="1:8" ht="19.899999999999999" customHeight="1" x14ac:dyDescent="0.2">
      <c r="A2105" s="519" t="s">
        <v>710</v>
      </c>
      <c r="B2105" s="472" t="str">
        <f>Ubicación</f>
        <v>Rawson - Santa Lucia</v>
      </c>
      <c r="C2105" s="472"/>
      <c r="D2105" s="473"/>
      <c r="E2105" s="474"/>
      <c r="F2105" s="475"/>
      <c r="G2105" s="520"/>
      <c r="H2105" s="65"/>
    </row>
    <row r="2106" spans="1:8" ht="19.899999999999999" customHeight="1" x14ac:dyDescent="0.2">
      <c r="A2106" s="519" t="s">
        <v>33</v>
      </c>
      <c r="B2106" s="476" t="str">
        <f>IFERROR(VALUE(LEFT(B2107,FIND(".",B2107)-1)),"")</f>
        <v/>
      </c>
      <c r="C2106" s="175">
        <f ca="1">IFERROR(VLOOKUP(B2106,T_Computo_Presupuesto,2,FALSE),0)</f>
        <v>0</v>
      </c>
      <c r="D2106" s="175"/>
      <c r="E2106" s="474"/>
      <c r="F2106" s="475"/>
      <c r="G2106" s="520"/>
      <c r="H2106" s="65"/>
    </row>
    <row r="2107" spans="1:8" ht="19.899999999999999" customHeight="1" x14ac:dyDescent="0.2">
      <c r="A2107" s="519" t="s">
        <v>22</v>
      </c>
      <c r="B2107" s="477" t="str">
        <f>IFERROR(VLOOKUP(COUNTIF($A$1:A2107,"ANALISIS DE PRECIOS"),T_NumeroItem,2,FALSE),"")</f>
        <v/>
      </c>
      <c r="C2107" s="719">
        <f ca="1">IFERROR(VLOOKUP(B2107,T_Computo_Presupuesto,2,FALSE),0)</f>
        <v>0</v>
      </c>
      <c r="D2107" s="719"/>
      <c r="E2107" s="719"/>
      <c r="F2107" s="472" t="s">
        <v>23</v>
      </c>
      <c r="G2107" s="521">
        <f ca="1">IFERROR(VLOOKUP(B2107,T_Computo_Presupuesto,4,FALSE),0)</f>
        <v>0</v>
      </c>
      <c r="H2107" s="65"/>
    </row>
    <row r="2108" spans="1:8" ht="19.899999999999999" customHeight="1" x14ac:dyDescent="0.2">
      <c r="A2108" s="519"/>
      <c r="B2108" s="472"/>
      <c r="C2108" s="175"/>
      <c r="D2108" s="473"/>
      <c r="E2108" s="474"/>
      <c r="F2108" s="175"/>
      <c r="G2108" s="522"/>
      <c r="H2108" s="65"/>
    </row>
    <row r="2109" spans="1:8" ht="19.899999999999999" customHeight="1" x14ac:dyDescent="0.2">
      <c r="A2109" s="523"/>
      <c r="B2109" s="478"/>
      <c r="C2109" s="479" t="s">
        <v>999</v>
      </c>
      <c r="D2109" s="478"/>
      <c r="E2109" s="478"/>
      <c r="F2109" s="478"/>
      <c r="G2109" s="524"/>
      <c r="H2109" s="65"/>
    </row>
    <row r="2110" spans="1:8" ht="19.899999999999999" customHeight="1" x14ac:dyDescent="0.2">
      <c r="A2110" s="519"/>
      <c r="B2110" s="480"/>
      <c r="C2110" s="175"/>
      <c r="D2110" s="473"/>
      <c r="E2110" s="474"/>
      <c r="F2110" s="472"/>
      <c r="G2110" s="521"/>
      <c r="H2110" s="65"/>
    </row>
    <row r="2111" spans="1:8" ht="19.899999999999999" customHeight="1" x14ac:dyDescent="0.2">
      <c r="A2111" s="519"/>
      <c r="B2111" s="480"/>
      <c r="C2111" s="481" t="s">
        <v>1000</v>
      </c>
      <c r="D2111" s="482" t="s">
        <v>24</v>
      </c>
      <c r="E2111" s="482" t="s">
        <v>1001</v>
      </c>
      <c r="F2111" s="482" t="s">
        <v>1002</v>
      </c>
      <c r="G2111" s="481" t="s">
        <v>1003</v>
      </c>
    </row>
    <row r="2112" spans="1:8"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1004</v>
      </c>
      <c r="D2123" s="472" t="s">
        <v>1001</v>
      </c>
      <c r="E2123" s="538">
        <f>SUMPRODUCT(D2112:D2121,E2112:E2121)</f>
        <v>0</v>
      </c>
      <c r="F2123" s="472" t="s">
        <v>1005</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1006</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06" t="s">
        <v>576</v>
      </c>
      <c r="B2127" s="707"/>
      <c r="C2127" s="708" t="s">
        <v>0</v>
      </c>
      <c r="D2127" s="720" t="s">
        <v>1866</v>
      </c>
      <c r="E2127" s="720" t="s">
        <v>1865</v>
      </c>
      <c r="F2127" s="712" t="s">
        <v>1007</v>
      </c>
      <c r="G2127" s="714" t="s">
        <v>26</v>
      </c>
    </row>
    <row r="2128" spans="1:7" ht="19.899999999999999" customHeight="1" x14ac:dyDescent="0.2">
      <c r="A2128" s="491" t="s">
        <v>577</v>
      </c>
      <c r="B2128" s="491" t="s">
        <v>578</v>
      </c>
      <c r="C2128" s="709"/>
      <c r="D2128" s="721"/>
      <c r="E2128" s="711"/>
      <c r="F2128" s="713"/>
      <c r="G2128" s="715"/>
    </row>
    <row r="2129" spans="1:7" ht="19.899999999999999" customHeight="1" x14ac:dyDescent="0.2">
      <c r="A2129" s="527"/>
      <c r="B2129" s="175"/>
      <c r="C2129" s="469" t="s">
        <v>1008</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27</v>
      </c>
      <c r="G2139" s="531">
        <f>SUBTOTAL(9,G2130:G2138)</f>
        <v>0</v>
      </c>
    </row>
    <row r="2140" spans="1:7" ht="19.899999999999999" customHeight="1" x14ac:dyDescent="0.2">
      <c r="A2140" s="527"/>
      <c r="B2140" s="175"/>
      <c r="C2140" s="469" t="s">
        <v>713</v>
      </c>
      <c r="D2140" s="473"/>
      <c r="E2140" s="474"/>
      <c r="F2140" s="475"/>
      <c r="G2140" s="528"/>
    </row>
    <row r="2141" spans="1:7" ht="19.899999999999999" customHeight="1" x14ac:dyDescent="0.2">
      <c r="A2141" s="706" t="s">
        <v>576</v>
      </c>
      <c r="B2141" s="707"/>
      <c r="C2141" s="708" t="s">
        <v>0</v>
      </c>
      <c r="D2141" s="710" t="s">
        <v>24</v>
      </c>
      <c r="E2141" s="710" t="s">
        <v>1832</v>
      </c>
      <c r="F2141" s="712" t="s">
        <v>1007</v>
      </c>
      <c r="G2141" s="714" t="s">
        <v>26</v>
      </c>
    </row>
    <row r="2142" spans="1:7" ht="19.899999999999999" customHeight="1" x14ac:dyDescent="0.2">
      <c r="A2142" s="491" t="s">
        <v>577</v>
      </c>
      <c r="B2142" s="491" t="s">
        <v>578</v>
      </c>
      <c r="C2142" s="709"/>
      <c r="D2142" s="711"/>
      <c r="E2142" s="711"/>
      <c r="F2142" s="713"/>
      <c r="G2142" s="715"/>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28</v>
      </c>
      <c r="G2150" s="532">
        <f>SUBTOTAL(9,G2143:G2149)</f>
        <v>0</v>
      </c>
    </row>
    <row r="2151" spans="1:7" ht="19.899999999999999" customHeight="1" x14ac:dyDescent="0.2">
      <c r="A2151" s="527"/>
      <c r="B2151" s="175"/>
      <c r="C2151" s="469" t="s">
        <v>1014</v>
      </c>
      <c r="D2151" s="473"/>
      <c r="E2151" s="474"/>
      <c r="F2151" s="475"/>
      <c r="G2151" s="528"/>
    </row>
    <row r="2152" spans="1:7" ht="19.899999999999999" customHeight="1" x14ac:dyDescent="0.2">
      <c r="A2152" s="706" t="s">
        <v>576</v>
      </c>
      <c r="B2152" s="707"/>
      <c r="C2152" s="708" t="s">
        <v>0</v>
      </c>
      <c r="D2152" s="708" t="s">
        <v>1867</v>
      </c>
      <c r="E2152" s="710" t="s">
        <v>24</v>
      </c>
      <c r="F2152" s="712" t="s">
        <v>25</v>
      </c>
      <c r="G2152" s="714" t="s">
        <v>26</v>
      </c>
    </row>
    <row r="2153" spans="1:7" ht="19.899999999999999" customHeight="1" x14ac:dyDescent="0.2">
      <c r="A2153" s="491" t="s">
        <v>577</v>
      </c>
      <c r="B2153" s="491" t="s">
        <v>578</v>
      </c>
      <c r="C2153" s="709"/>
      <c r="D2153" s="709"/>
      <c r="E2153" s="711"/>
      <c r="F2153" s="713"/>
      <c r="G2153" s="715"/>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8"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8"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8"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8"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8" ht="19.899999999999999" customHeight="1" x14ac:dyDescent="0.2">
      <c r="A2165" s="527"/>
      <c r="B2165" s="175"/>
      <c r="C2165" s="175"/>
      <c r="D2165" s="473"/>
      <c r="E2165" s="474"/>
      <c r="F2165" s="495" t="s">
        <v>29</v>
      </c>
      <c r="G2165" s="532">
        <f>SUBTOTAL(9,G2154:G2164)</f>
        <v>0</v>
      </c>
    </row>
    <row r="2166" spans="1:8" ht="19.899999999999999" customHeight="1" x14ac:dyDescent="0.2">
      <c r="A2166" s="527"/>
      <c r="B2166" s="175"/>
      <c r="C2166" s="469" t="s">
        <v>1015</v>
      </c>
      <c r="D2166" s="473"/>
      <c r="E2166" s="474"/>
      <c r="F2166" s="475"/>
      <c r="G2166" s="528"/>
    </row>
    <row r="2167" spans="1:8" ht="19.899999999999999" customHeight="1" x14ac:dyDescent="0.2">
      <c r="A2167" s="706" t="s">
        <v>576</v>
      </c>
      <c r="B2167" s="707"/>
      <c r="C2167" s="708" t="s">
        <v>0</v>
      </c>
      <c r="D2167" s="708" t="s">
        <v>1867</v>
      </c>
      <c r="E2167" s="710" t="s">
        <v>24</v>
      </c>
      <c r="F2167" s="712" t="s">
        <v>25</v>
      </c>
      <c r="G2167" s="714" t="s">
        <v>26</v>
      </c>
    </row>
    <row r="2168" spans="1:8" ht="19.899999999999999" customHeight="1" x14ac:dyDescent="0.2">
      <c r="A2168" s="491" t="s">
        <v>577</v>
      </c>
      <c r="B2168" s="491" t="s">
        <v>578</v>
      </c>
      <c r="C2168" s="709"/>
      <c r="D2168" s="709"/>
      <c r="E2168" s="711"/>
      <c r="F2168" s="713"/>
      <c r="G2168" s="715"/>
    </row>
    <row r="2169" spans="1:8"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x14ac:dyDescent="0.2">
      <c r="A2171" s="527"/>
      <c r="B2171" s="175"/>
      <c r="C2171" s="175"/>
      <c r="D2171" s="473"/>
      <c r="E2171" s="474"/>
      <c r="F2171" s="495" t="s">
        <v>1016</v>
      </c>
      <c r="G2171" s="532">
        <f>SUBTOTAL(9,G2169:G2170)</f>
        <v>0</v>
      </c>
      <c r="H2171" s="65"/>
    </row>
    <row r="2172" spans="1:8" ht="19.899999999999999" customHeight="1" x14ac:dyDescent="0.2">
      <c r="A2172" s="530"/>
      <c r="B2172" s="473"/>
      <c r="C2172" s="175"/>
      <c r="D2172" s="473"/>
      <c r="E2172" s="474"/>
      <c r="F2172" s="475"/>
      <c r="G2172" s="528"/>
      <c r="H2172" s="65"/>
    </row>
    <row r="2173" spans="1:8" ht="19.899999999999999" customHeight="1" x14ac:dyDescent="0.2">
      <c r="A2173" s="588" t="str">
        <f>B2107</f>
        <v/>
      </c>
      <c r="B2173" s="585">
        <f ca="1">C2107</f>
        <v>0</v>
      </c>
      <c r="C2173" s="473"/>
      <c r="D2173" s="473" t="s">
        <v>1833</v>
      </c>
      <c r="E2173" s="586"/>
      <c r="F2173" s="587" t="str">
        <f ca="1">"$/"&amp;G2107</f>
        <v>$/0</v>
      </c>
      <c r="G2173" s="537">
        <f>SUBTOTAL(9,G2130:G2172)</f>
        <v>0</v>
      </c>
      <c r="H2173" s="65"/>
    </row>
    <row r="2174" spans="1:8" ht="19.899999999999999" customHeight="1" x14ac:dyDescent="0.2">
      <c r="A2174" s="533"/>
      <c r="B2174" s="534"/>
      <c r="C2174" s="535"/>
      <c r="D2174" s="535" t="s">
        <v>2043</v>
      </c>
      <c r="E2174" s="536"/>
      <c r="F2174" s="589" t="str">
        <f ca="1">"$/"&amp;G2107</f>
        <v>$/0</v>
      </c>
      <c r="G2174" s="537">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16" t="s">
        <v>31</v>
      </c>
      <c r="B2176" s="717"/>
      <c r="C2176" s="717"/>
      <c r="D2176" s="717"/>
      <c r="E2176" s="717"/>
      <c r="F2176" s="717"/>
      <c r="G2176" s="718"/>
    </row>
    <row r="2177" spans="1:7" ht="19.899999999999999" customHeight="1" x14ac:dyDescent="0.2">
      <c r="A2177" s="516" t="s">
        <v>711</v>
      </c>
      <c r="B2177" s="467" t="str">
        <f>Comitente</f>
        <v>DIRECCIÓN PROVINCIAL DE VIALIDAD</v>
      </c>
      <c r="C2177" s="468"/>
      <c r="D2177" s="469"/>
      <c r="E2177" s="469"/>
      <c r="F2177" s="470"/>
      <c r="G2177" s="517"/>
    </row>
    <row r="2178" spans="1:7" ht="19.899999999999999" customHeight="1" x14ac:dyDescent="0.2">
      <c r="A2178" s="516" t="s">
        <v>712</v>
      </c>
      <c r="B2178" s="467">
        <f>Contratista</f>
        <v>0</v>
      </c>
      <c r="C2178" s="471"/>
      <c r="D2178" s="471"/>
      <c r="E2178" s="471"/>
      <c r="F2178" s="467"/>
      <c r="G2178" s="518"/>
    </row>
    <row r="2179" spans="1:7" ht="19.899999999999999" customHeight="1" x14ac:dyDescent="0.2">
      <c r="A2179" s="516" t="s">
        <v>21</v>
      </c>
      <c r="B2179" s="467" t="str">
        <f>Obra</f>
        <v>OBRA BÁSICA Y PAVIMENTACIÓN CALLE GÜEMES</v>
      </c>
      <c r="C2179" s="471"/>
      <c r="D2179" s="471"/>
      <c r="E2179" s="471"/>
      <c r="F2179" s="467" t="s">
        <v>32</v>
      </c>
      <c r="G2179" s="518">
        <f>Fecha_Base</f>
        <v>0</v>
      </c>
    </row>
    <row r="2180" spans="1:7" ht="19.899999999999999" customHeight="1" x14ac:dyDescent="0.2">
      <c r="A2180" s="519" t="s">
        <v>710</v>
      </c>
      <c r="B2180" s="472" t="str">
        <f>Ubicación</f>
        <v>Rawson - Santa Lucia</v>
      </c>
      <c r="C2180" s="472"/>
      <c r="D2180" s="473"/>
      <c r="E2180" s="474"/>
      <c r="F2180" s="475"/>
      <c r="G2180" s="520"/>
    </row>
    <row r="2181" spans="1:7" ht="19.899999999999999" customHeight="1" x14ac:dyDescent="0.2">
      <c r="A2181" s="519" t="s">
        <v>33</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22</v>
      </c>
      <c r="B2182" s="477" t="str">
        <f>IFERROR(VLOOKUP(COUNTIF($A$1:A2182,"ANALISIS DE PRECIOS"),T_NumeroItem,2,FALSE),"")</f>
        <v/>
      </c>
      <c r="C2182" s="719">
        <f ca="1">IFERROR(VLOOKUP(B2182,T_Computo_Presupuesto,2,FALSE),0)</f>
        <v>0</v>
      </c>
      <c r="D2182" s="719"/>
      <c r="E2182" s="719"/>
      <c r="F2182" s="472" t="s">
        <v>23</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999</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1000</v>
      </c>
      <c r="D2186" s="482" t="s">
        <v>24</v>
      </c>
      <c r="E2186" s="482" t="s">
        <v>1001</v>
      </c>
      <c r="F2186" s="482" t="s">
        <v>1002</v>
      </c>
      <c r="G2186" s="481" t="s">
        <v>1003</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1004</v>
      </c>
      <c r="D2198" s="472" t="s">
        <v>1001</v>
      </c>
      <c r="E2198" s="538">
        <f>SUMPRODUCT(D2187:D2196,E2187:E2196)</f>
        <v>0</v>
      </c>
      <c r="F2198" s="472" t="s">
        <v>1005</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1006</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06" t="s">
        <v>576</v>
      </c>
      <c r="B2202" s="707"/>
      <c r="C2202" s="708" t="s">
        <v>0</v>
      </c>
      <c r="D2202" s="720" t="s">
        <v>1866</v>
      </c>
      <c r="E2202" s="720" t="s">
        <v>1865</v>
      </c>
      <c r="F2202" s="712" t="s">
        <v>1007</v>
      </c>
      <c r="G2202" s="714" t="s">
        <v>26</v>
      </c>
    </row>
    <row r="2203" spans="1:7" ht="19.899999999999999" customHeight="1" x14ac:dyDescent="0.2">
      <c r="A2203" s="491" t="s">
        <v>577</v>
      </c>
      <c r="B2203" s="491" t="s">
        <v>578</v>
      </c>
      <c r="C2203" s="709"/>
      <c r="D2203" s="721"/>
      <c r="E2203" s="711"/>
      <c r="F2203" s="713"/>
      <c r="G2203" s="715"/>
    </row>
    <row r="2204" spans="1:7" ht="19.899999999999999" customHeight="1" x14ac:dyDescent="0.2">
      <c r="A2204" s="527"/>
      <c r="B2204" s="175"/>
      <c r="C2204" s="469" t="s">
        <v>1008</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27</v>
      </c>
      <c r="G2214" s="531">
        <f>SUBTOTAL(9,G2205:G2213)</f>
        <v>0</v>
      </c>
    </row>
    <row r="2215" spans="1:7" ht="19.899999999999999" customHeight="1" x14ac:dyDescent="0.2">
      <c r="A2215" s="527"/>
      <c r="B2215" s="175"/>
      <c r="C2215" s="469" t="s">
        <v>713</v>
      </c>
      <c r="D2215" s="473"/>
      <c r="E2215" s="474"/>
      <c r="F2215" s="475"/>
      <c r="G2215" s="528"/>
    </row>
    <row r="2216" spans="1:7" ht="19.899999999999999" customHeight="1" x14ac:dyDescent="0.2">
      <c r="A2216" s="706" t="s">
        <v>576</v>
      </c>
      <c r="B2216" s="707"/>
      <c r="C2216" s="708" t="s">
        <v>0</v>
      </c>
      <c r="D2216" s="710" t="s">
        <v>24</v>
      </c>
      <c r="E2216" s="710" t="s">
        <v>1832</v>
      </c>
      <c r="F2216" s="712" t="s">
        <v>1007</v>
      </c>
      <c r="G2216" s="714" t="s">
        <v>26</v>
      </c>
    </row>
    <row r="2217" spans="1:7" ht="19.899999999999999" customHeight="1" x14ac:dyDescent="0.2">
      <c r="A2217" s="491" t="s">
        <v>577</v>
      </c>
      <c r="B2217" s="491" t="s">
        <v>578</v>
      </c>
      <c r="C2217" s="709"/>
      <c r="D2217" s="711"/>
      <c r="E2217" s="711"/>
      <c r="F2217" s="713"/>
      <c r="G2217" s="715"/>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28</v>
      </c>
      <c r="G2225" s="532">
        <f>SUBTOTAL(9,G2218:G2224)</f>
        <v>0</v>
      </c>
    </row>
    <row r="2226" spans="1:7" ht="19.899999999999999" customHeight="1" x14ac:dyDescent="0.2">
      <c r="A2226" s="527"/>
      <c r="B2226" s="175"/>
      <c r="C2226" s="469" t="s">
        <v>1014</v>
      </c>
      <c r="D2226" s="473"/>
      <c r="E2226" s="474"/>
      <c r="F2226" s="475"/>
      <c r="G2226" s="528"/>
    </row>
    <row r="2227" spans="1:7" ht="19.899999999999999" customHeight="1" x14ac:dyDescent="0.2">
      <c r="A2227" s="706" t="s">
        <v>576</v>
      </c>
      <c r="B2227" s="707"/>
      <c r="C2227" s="708" t="s">
        <v>0</v>
      </c>
      <c r="D2227" s="708" t="s">
        <v>1867</v>
      </c>
      <c r="E2227" s="710" t="s">
        <v>24</v>
      </c>
      <c r="F2227" s="712" t="s">
        <v>25</v>
      </c>
      <c r="G2227" s="714" t="s">
        <v>26</v>
      </c>
    </row>
    <row r="2228" spans="1:7" ht="19.899999999999999" customHeight="1" x14ac:dyDescent="0.2">
      <c r="A2228" s="491" t="s">
        <v>577</v>
      </c>
      <c r="B2228" s="491" t="s">
        <v>578</v>
      </c>
      <c r="C2228" s="709"/>
      <c r="D2228" s="709"/>
      <c r="E2228" s="711"/>
      <c r="F2228" s="713"/>
      <c r="G2228" s="715"/>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29</v>
      </c>
      <c r="G2240" s="532">
        <f>SUBTOTAL(9,G2229:G2239)</f>
        <v>0</v>
      </c>
    </row>
    <row r="2241" spans="1:7" ht="19.899999999999999" customHeight="1" x14ac:dyDescent="0.2">
      <c r="A2241" s="527"/>
      <c r="B2241" s="175"/>
      <c r="C2241" s="469" t="s">
        <v>1015</v>
      </c>
      <c r="D2241" s="473"/>
      <c r="E2241" s="474"/>
      <c r="F2241" s="475"/>
      <c r="G2241" s="528"/>
    </row>
    <row r="2242" spans="1:7" ht="19.899999999999999" customHeight="1" x14ac:dyDescent="0.2">
      <c r="A2242" s="706" t="s">
        <v>576</v>
      </c>
      <c r="B2242" s="707"/>
      <c r="C2242" s="708" t="s">
        <v>0</v>
      </c>
      <c r="D2242" s="708" t="s">
        <v>1867</v>
      </c>
      <c r="E2242" s="710" t="s">
        <v>24</v>
      </c>
      <c r="F2242" s="712" t="s">
        <v>25</v>
      </c>
      <c r="G2242" s="714" t="s">
        <v>26</v>
      </c>
    </row>
    <row r="2243" spans="1:7" ht="19.899999999999999" customHeight="1" x14ac:dyDescent="0.2">
      <c r="A2243" s="491" t="s">
        <v>577</v>
      </c>
      <c r="B2243" s="491" t="s">
        <v>578</v>
      </c>
      <c r="C2243" s="709"/>
      <c r="D2243" s="709"/>
      <c r="E2243" s="711"/>
      <c r="F2243" s="713"/>
      <c r="G2243" s="715"/>
    </row>
    <row r="2244" spans="1:7"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x14ac:dyDescent="0.2">
      <c r="A2246" s="527"/>
      <c r="B2246" s="175"/>
      <c r="C2246" s="175"/>
      <c r="D2246" s="473"/>
      <c r="E2246" s="474"/>
      <c r="F2246" s="495" t="s">
        <v>1016</v>
      </c>
      <c r="G2246" s="532">
        <f>SUBTOTAL(9,G2244:G2245)</f>
        <v>0</v>
      </c>
    </row>
    <row r="2247" spans="1:7" ht="19.899999999999999" customHeight="1" x14ac:dyDescent="0.2">
      <c r="A2247" s="530"/>
      <c r="B2247" s="473"/>
      <c r="C2247" s="175"/>
      <c r="D2247" s="473"/>
      <c r="E2247" s="474"/>
      <c r="F2247" s="475"/>
      <c r="G2247" s="528"/>
    </row>
    <row r="2248" spans="1:7" ht="19.899999999999999" customHeight="1" x14ac:dyDescent="0.2">
      <c r="A2248" s="588" t="str">
        <f>B2182</f>
        <v/>
      </c>
      <c r="B2248" s="585">
        <f ca="1">C2182</f>
        <v>0</v>
      </c>
      <c r="C2248" s="473"/>
      <c r="D2248" s="473" t="s">
        <v>1833</v>
      </c>
      <c r="E2248" s="586"/>
      <c r="F2248" s="587" t="str">
        <f ca="1">"$/"&amp;G2182</f>
        <v>$/0</v>
      </c>
      <c r="G2248" s="537">
        <f>SUBTOTAL(9,G2205:G2247)</f>
        <v>0</v>
      </c>
    </row>
    <row r="2249" spans="1:7" ht="19.899999999999999" customHeight="1" x14ac:dyDescent="0.2">
      <c r="A2249" s="533"/>
      <c r="B2249" s="534"/>
      <c r="C2249" s="535"/>
      <c r="D2249" s="535" t="s">
        <v>2043</v>
      </c>
      <c r="E2249" s="536"/>
      <c r="F2249" s="589" t="str">
        <f ca="1">"$/"&amp;G2182</f>
        <v>$/0</v>
      </c>
      <c r="G2249" s="537">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16" t="s">
        <v>31</v>
      </c>
      <c r="B2251" s="717"/>
      <c r="C2251" s="717"/>
      <c r="D2251" s="717"/>
      <c r="E2251" s="717"/>
      <c r="F2251" s="717"/>
      <c r="G2251" s="718"/>
    </row>
    <row r="2252" spans="1:7" ht="19.899999999999999" customHeight="1" x14ac:dyDescent="0.2">
      <c r="A2252" s="516" t="s">
        <v>711</v>
      </c>
      <c r="B2252" s="467" t="str">
        <f>Comitente</f>
        <v>DIRECCIÓN PROVINCIAL DE VIALIDAD</v>
      </c>
      <c r="C2252" s="468"/>
      <c r="D2252" s="469"/>
      <c r="E2252" s="469"/>
      <c r="F2252" s="470"/>
      <c r="G2252" s="517"/>
    </row>
    <row r="2253" spans="1:7" ht="19.899999999999999" customHeight="1" x14ac:dyDescent="0.2">
      <c r="A2253" s="516" t="s">
        <v>712</v>
      </c>
      <c r="B2253" s="467">
        <f>Contratista</f>
        <v>0</v>
      </c>
      <c r="C2253" s="471"/>
      <c r="D2253" s="471"/>
      <c r="E2253" s="471"/>
      <c r="F2253" s="467"/>
      <c r="G2253" s="518"/>
    </row>
    <row r="2254" spans="1:7" ht="19.899999999999999" customHeight="1" x14ac:dyDescent="0.2">
      <c r="A2254" s="516" t="s">
        <v>21</v>
      </c>
      <c r="B2254" s="467" t="str">
        <f>Obra</f>
        <v>OBRA BÁSICA Y PAVIMENTACIÓN CALLE GÜEMES</v>
      </c>
      <c r="C2254" s="471"/>
      <c r="D2254" s="471"/>
      <c r="E2254" s="471"/>
      <c r="F2254" s="467" t="s">
        <v>32</v>
      </c>
      <c r="G2254" s="518">
        <f>Fecha_Base</f>
        <v>0</v>
      </c>
    </row>
    <row r="2255" spans="1:7" ht="19.899999999999999" customHeight="1" x14ac:dyDescent="0.2">
      <c r="A2255" s="519" t="s">
        <v>710</v>
      </c>
      <c r="B2255" s="472" t="str">
        <f>Ubicación</f>
        <v>Rawson - Santa Lucia</v>
      </c>
      <c r="C2255" s="472"/>
      <c r="D2255" s="473"/>
      <c r="E2255" s="474"/>
      <c r="F2255" s="475"/>
      <c r="G2255" s="520"/>
    </row>
    <row r="2256" spans="1:7" ht="19.899999999999999" customHeight="1" x14ac:dyDescent="0.2">
      <c r="A2256" s="519" t="s">
        <v>33</v>
      </c>
      <c r="B2256" s="476" t="str">
        <f>IFERROR(VALUE(LEFT(B2257,FIND(".",B2257)-1)),"")</f>
        <v/>
      </c>
      <c r="C2256" s="175">
        <f ca="1">IFERROR(VLOOKUP(B2256,T_Computo_Presupuesto,2,FALSE),0)</f>
        <v>0</v>
      </c>
      <c r="D2256" s="175"/>
      <c r="E2256" s="474"/>
      <c r="F2256" s="475"/>
      <c r="G2256" s="520"/>
    </row>
    <row r="2257" spans="1:7" ht="19.899999999999999" customHeight="1" x14ac:dyDescent="0.2">
      <c r="A2257" s="519" t="s">
        <v>22</v>
      </c>
      <c r="B2257" s="477" t="str">
        <f>IFERROR(VLOOKUP(COUNTIF($A$1:A2257,"ANALISIS DE PRECIOS"),T_NumeroItem,2,FALSE),"")</f>
        <v/>
      </c>
      <c r="C2257" s="719">
        <f ca="1">IFERROR(VLOOKUP(B2257,T_Computo_Presupuesto,2,FALSE),0)</f>
        <v>0</v>
      </c>
      <c r="D2257" s="719"/>
      <c r="E2257" s="719"/>
      <c r="F2257" s="472" t="s">
        <v>23</v>
      </c>
      <c r="G2257" s="521">
        <f ca="1">IFERROR(VLOOKUP(B2257,T_Computo_Presupuesto,4,FALSE),0)</f>
        <v>0</v>
      </c>
    </row>
    <row r="2258" spans="1:7" ht="19.899999999999999" customHeight="1" x14ac:dyDescent="0.2">
      <c r="A2258" s="519"/>
      <c r="B2258" s="472"/>
      <c r="C2258" s="175"/>
      <c r="D2258" s="473"/>
      <c r="E2258" s="474"/>
      <c r="F2258" s="175"/>
      <c r="G2258" s="522"/>
    </row>
    <row r="2259" spans="1:7" ht="19.899999999999999" customHeight="1" x14ac:dyDescent="0.2">
      <c r="A2259" s="523"/>
      <c r="B2259" s="478"/>
      <c r="C2259" s="479" t="s">
        <v>999</v>
      </c>
      <c r="D2259" s="478"/>
      <c r="E2259" s="478"/>
      <c r="F2259" s="478"/>
      <c r="G2259" s="524"/>
    </row>
    <row r="2260" spans="1:7" ht="19.899999999999999" customHeight="1" x14ac:dyDescent="0.2">
      <c r="A2260" s="519"/>
      <c r="B2260" s="480"/>
      <c r="C2260" s="175"/>
      <c r="D2260" s="473"/>
      <c r="E2260" s="474"/>
      <c r="F2260" s="472"/>
      <c r="G2260" s="521"/>
    </row>
    <row r="2261" spans="1:7" ht="19.899999999999999" customHeight="1" x14ac:dyDescent="0.2">
      <c r="A2261" s="519"/>
      <c r="B2261" s="480"/>
      <c r="C2261" s="481" t="s">
        <v>1000</v>
      </c>
      <c r="D2261" s="482" t="s">
        <v>24</v>
      </c>
      <c r="E2261" s="482" t="s">
        <v>1001</v>
      </c>
      <c r="F2261" s="482" t="s">
        <v>1002</v>
      </c>
      <c r="G2261" s="481" t="s">
        <v>1003</v>
      </c>
    </row>
    <row r="2262" spans="1:7"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x14ac:dyDescent="0.2">
      <c r="A2263" s="519"/>
      <c r="B2263" s="480"/>
      <c r="C2263" s="483"/>
      <c r="D2263" s="484"/>
      <c r="E2263" s="485">
        <f t="shared" si="510"/>
        <v>0</v>
      </c>
      <c r="F2263" s="486">
        <f t="shared" si="511"/>
        <v>0</v>
      </c>
      <c r="G2263" s="486">
        <f>ROUND(D2263*F2263,2)</f>
        <v>0</v>
      </c>
    </row>
    <row r="2264" spans="1:7" ht="19.899999999999999" customHeight="1" x14ac:dyDescent="0.2">
      <c r="A2264" s="519"/>
      <c r="B2264" s="480"/>
      <c r="C2264" s="483"/>
      <c r="D2264" s="484"/>
      <c r="E2264" s="485">
        <f t="shared" si="510"/>
        <v>0</v>
      </c>
      <c r="F2264" s="486">
        <f t="shared" si="511"/>
        <v>0</v>
      </c>
      <c r="G2264" s="486">
        <f>ROUND(D2264*F2264,2)</f>
        <v>0</v>
      </c>
    </row>
    <row r="2265" spans="1:7" ht="19.899999999999999" customHeight="1" x14ac:dyDescent="0.2">
      <c r="A2265" s="519"/>
      <c r="B2265" s="480"/>
      <c r="C2265" s="483"/>
      <c r="D2265" s="484"/>
      <c r="E2265" s="485">
        <f t="shared" si="510"/>
        <v>0</v>
      </c>
      <c r="F2265" s="486">
        <f t="shared" si="511"/>
        <v>0</v>
      </c>
      <c r="G2265" s="486">
        <f>ROUND(D2265*F2265,2)</f>
        <v>0</v>
      </c>
    </row>
    <row r="2266" spans="1:7" ht="19.899999999999999" customHeight="1" x14ac:dyDescent="0.2">
      <c r="A2266" s="519"/>
      <c r="B2266" s="480"/>
      <c r="C2266" s="483"/>
      <c r="D2266" s="484"/>
      <c r="E2266" s="485">
        <f t="shared" si="510"/>
        <v>0</v>
      </c>
      <c r="F2266" s="486">
        <f t="shared" si="511"/>
        <v>0</v>
      </c>
      <c r="G2266" s="486">
        <f t="shared" ref="G2266:G2271" si="512">ROUND(D2266*F2266,2)</f>
        <v>0</v>
      </c>
    </row>
    <row r="2267" spans="1:7" ht="19.899999999999999" customHeight="1" x14ac:dyDescent="0.2">
      <c r="A2267" s="519"/>
      <c r="B2267" s="480"/>
      <c r="C2267" s="483"/>
      <c r="D2267" s="484"/>
      <c r="E2267" s="485">
        <f t="shared" si="510"/>
        <v>0</v>
      </c>
      <c r="F2267" s="486">
        <f t="shared" si="511"/>
        <v>0</v>
      </c>
      <c r="G2267" s="486">
        <f t="shared" si="512"/>
        <v>0</v>
      </c>
    </row>
    <row r="2268" spans="1:7" ht="19.899999999999999" customHeight="1" x14ac:dyDescent="0.2">
      <c r="A2268" s="519"/>
      <c r="B2268" s="480"/>
      <c r="C2268" s="483"/>
      <c r="D2268" s="484"/>
      <c r="E2268" s="485">
        <f t="shared" si="510"/>
        <v>0</v>
      </c>
      <c r="F2268" s="486">
        <f t="shared" si="511"/>
        <v>0</v>
      </c>
      <c r="G2268" s="486">
        <f t="shared" si="512"/>
        <v>0</v>
      </c>
    </row>
    <row r="2269" spans="1:7" ht="19.899999999999999" customHeight="1" x14ac:dyDescent="0.2">
      <c r="A2269" s="519"/>
      <c r="B2269" s="480"/>
      <c r="C2269" s="483"/>
      <c r="D2269" s="484"/>
      <c r="E2269" s="485">
        <f t="shared" si="510"/>
        <v>0</v>
      </c>
      <c r="F2269" s="486">
        <f t="shared" si="511"/>
        <v>0</v>
      </c>
      <c r="G2269" s="486">
        <f t="shared" si="512"/>
        <v>0</v>
      </c>
    </row>
    <row r="2270" spans="1:7" ht="19.899999999999999" customHeight="1" x14ac:dyDescent="0.2">
      <c r="A2270" s="519"/>
      <c r="B2270" s="480"/>
      <c r="C2270" s="483"/>
      <c r="D2270" s="484"/>
      <c r="E2270" s="485">
        <f t="shared" si="510"/>
        <v>0</v>
      </c>
      <c r="F2270" s="486">
        <f t="shared" si="511"/>
        <v>0</v>
      </c>
      <c r="G2270" s="486">
        <f t="shared" si="512"/>
        <v>0</v>
      </c>
    </row>
    <row r="2271" spans="1:7" ht="19.899999999999999" customHeight="1" x14ac:dyDescent="0.2">
      <c r="A2271" s="519"/>
      <c r="B2271" s="480"/>
      <c r="C2271" s="483"/>
      <c r="D2271" s="484"/>
      <c r="E2271" s="485">
        <f t="shared" si="510"/>
        <v>0</v>
      </c>
      <c r="F2271" s="486">
        <f t="shared" si="511"/>
        <v>0</v>
      </c>
      <c r="G2271" s="486">
        <f t="shared" si="512"/>
        <v>0</v>
      </c>
    </row>
    <row r="2272" spans="1:7" ht="19.899999999999999" customHeight="1" x14ac:dyDescent="0.2">
      <c r="A2272" s="519"/>
      <c r="B2272" s="480"/>
      <c r="C2272" s="175"/>
      <c r="D2272" s="175"/>
      <c r="E2272" s="487"/>
      <c r="F2272" s="472"/>
      <c r="G2272" s="521"/>
    </row>
    <row r="2273" spans="1:7" ht="19.899999999999999" customHeight="1" x14ac:dyDescent="0.2">
      <c r="A2273" s="519"/>
      <c r="B2273" s="175"/>
      <c r="C2273" s="469" t="s">
        <v>1004</v>
      </c>
      <c r="D2273" s="472" t="s">
        <v>1001</v>
      </c>
      <c r="E2273" s="538">
        <f>SUMPRODUCT(D2262:D2271,E2262:E2271)</f>
        <v>0</v>
      </c>
      <c r="F2273" s="472" t="s">
        <v>1005</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1006</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06" t="s">
        <v>576</v>
      </c>
      <c r="B2277" s="707"/>
      <c r="C2277" s="708" t="s">
        <v>0</v>
      </c>
      <c r="D2277" s="720" t="s">
        <v>1866</v>
      </c>
      <c r="E2277" s="720" t="s">
        <v>1865</v>
      </c>
      <c r="F2277" s="712" t="s">
        <v>1007</v>
      </c>
      <c r="G2277" s="714" t="s">
        <v>26</v>
      </c>
    </row>
    <row r="2278" spans="1:7" ht="19.899999999999999" customHeight="1" x14ac:dyDescent="0.2">
      <c r="A2278" s="491" t="s">
        <v>577</v>
      </c>
      <c r="B2278" s="491" t="s">
        <v>578</v>
      </c>
      <c r="C2278" s="709"/>
      <c r="D2278" s="721"/>
      <c r="E2278" s="711"/>
      <c r="F2278" s="713"/>
      <c r="G2278" s="715"/>
    </row>
    <row r="2279" spans="1:7" ht="19.899999999999999" customHeight="1" x14ac:dyDescent="0.2">
      <c r="A2279" s="527"/>
      <c r="B2279" s="175"/>
      <c r="C2279" s="469" t="s">
        <v>1008</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27</v>
      </c>
      <c r="G2289" s="531">
        <f>SUBTOTAL(9,G2280:G2288)</f>
        <v>0</v>
      </c>
    </row>
    <row r="2290" spans="1:7" ht="19.899999999999999" customHeight="1" x14ac:dyDescent="0.2">
      <c r="A2290" s="527"/>
      <c r="B2290" s="175"/>
      <c r="C2290" s="469" t="s">
        <v>713</v>
      </c>
      <c r="D2290" s="473"/>
      <c r="E2290" s="474"/>
      <c r="F2290" s="475"/>
      <c r="G2290" s="528"/>
    </row>
    <row r="2291" spans="1:7" ht="19.899999999999999" customHeight="1" x14ac:dyDescent="0.2">
      <c r="A2291" s="706" t="s">
        <v>576</v>
      </c>
      <c r="B2291" s="707"/>
      <c r="C2291" s="708" t="s">
        <v>0</v>
      </c>
      <c r="D2291" s="710" t="s">
        <v>24</v>
      </c>
      <c r="E2291" s="710" t="s">
        <v>1832</v>
      </c>
      <c r="F2291" s="712" t="s">
        <v>1007</v>
      </c>
      <c r="G2291" s="714" t="s">
        <v>26</v>
      </c>
    </row>
    <row r="2292" spans="1:7" ht="19.899999999999999" customHeight="1" x14ac:dyDescent="0.2">
      <c r="A2292" s="491" t="s">
        <v>577</v>
      </c>
      <c r="B2292" s="491" t="s">
        <v>578</v>
      </c>
      <c r="C2292" s="709"/>
      <c r="D2292" s="711"/>
      <c r="E2292" s="711"/>
      <c r="F2292" s="713"/>
      <c r="G2292" s="715"/>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28</v>
      </c>
      <c r="G2300" s="532">
        <f>SUBTOTAL(9,G2293:G2299)</f>
        <v>0</v>
      </c>
    </row>
    <row r="2301" spans="1:7" ht="19.899999999999999" customHeight="1" x14ac:dyDescent="0.2">
      <c r="A2301" s="527"/>
      <c r="B2301" s="175"/>
      <c r="C2301" s="469" t="s">
        <v>1014</v>
      </c>
      <c r="D2301" s="473"/>
      <c r="E2301" s="474"/>
      <c r="F2301" s="475"/>
      <c r="G2301" s="528"/>
    </row>
    <row r="2302" spans="1:7" ht="19.899999999999999" customHeight="1" x14ac:dyDescent="0.2">
      <c r="A2302" s="706" t="s">
        <v>576</v>
      </c>
      <c r="B2302" s="707"/>
      <c r="C2302" s="708" t="s">
        <v>0</v>
      </c>
      <c r="D2302" s="708" t="s">
        <v>1867</v>
      </c>
      <c r="E2302" s="710" t="s">
        <v>24</v>
      </c>
      <c r="F2302" s="712" t="s">
        <v>25</v>
      </c>
      <c r="G2302" s="714" t="s">
        <v>26</v>
      </c>
    </row>
    <row r="2303" spans="1:7" ht="19.899999999999999" customHeight="1" x14ac:dyDescent="0.2">
      <c r="A2303" s="491" t="s">
        <v>577</v>
      </c>
      <c r="B2303" s="491" t="s">
        <v>578</v>
      </c>
      <c r="C2303" s="709"/>
      <c r="D2303" s="709"/>
      <c r="E2303" s="711"/>
      <c r="F2303" s="713"/>
      <c r="G2303" s="715"/>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29</v>
      </c>
      <c r="G2315" s="532">
        <f>SUBTOTAL(9,G2304:G2314)</f>
        <v>0</v>
      </c>
    </row>
    <row r="2316" spans="1:7" ht="19.899999999999999" customHeight="1" x14ac:dyDescent="0.2">
      <c r="A2316" s="527"/>
      <c r="B2316" s="175"/>
      <c r="C2316" s="469" t="s">
        <v>1015</v>
      </c>
      <c r="D2316" s="473"/>
      <c r="E2316" s="474"/>
      <c r="F2316" s="475"/>
      <c r="G2316" s="528"/>
    </row>
    <row r="2317" spans="1:7" ht="19.899999999999999" customHeight="1" x14ac:dyDescent="0.2">
      <c r="A2317" s="706" t="s">
        <v>576</v>
      </c>
      <c r="B2317" s="707"/>
      <c r="C2317" s="708" t="s">
        <v>0</v>
      </c>
      <c r="D2317" s="708" t="s">
        <v>1867</v>
      </c>
      <c r="E2317" s="710" t="s">
        <v>24</v>
      </c>
      <c r="F2317" s="712" t="s">
        <v>25</v>
      </c>
      <c r="G2317" s="714" t="s">
        <v>26</v>
      </c>
    </row>
    <row r="2318" spans="1:7" ht="19.899999999999999" customHeight="1" x14ac:dyDescent="0.2">
      <c r="A2318" s="491" t="s">
        <v>577</v>
      </c>
      <c r="B2318" s="491" t="s">
        <v>578</v>
      </c>
      <c r="C2318" s="709"/>
      <c r="D2318" s="709"/>
      <c r="E2318" s="711"/>
      <c r="F2318" s="713"/>
      <c r="G2318" s="715"/>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x14ac:dyDescent="0.2">
      <c r="A2321" s="527"/>
      <c r="B2321" s="175"/>
      <c r="C2321" s="175"/>
      <c r="D2321" s="473"/>
      <c r="E2321" s="474"/>
      <c r="F2321" s="495" t="s">
        <v>1016</v>
      </c>
      <c r="G2321" s="532">
        <f>SUBTOTAL(9,G2319:G2320)</f>
        <v>0</v>
      </c>
    </row>
    <row r="2322" spans="1:7" ht="19.899999999999999" customHeight="1" x14ac:dyDescent="0.2">
      <c r="A2322" s="530"/>
      <c r="B2322" s="473"/>
      <c r="C2322" s="175"/>
      <c r="D2322" s="473"/>
      <c r="E2322" s="474"/>
      <c r="F2322" s="475"/>
      <c r="G2322" s="528"/>
    </row>
    <row r="2323" spans="1:7" ht="19.899999999999999" customHeight="1" x14ac:dyDescent="0.2">
      <c r="A2323" s="588" t="str">
        <f>B2257</f>
        <v/>
      </c>
      <c r="B2323" s="585">
        <f ca="1">C2257</f>
        <v>0</v>
      </c>
      <c r="C2323" s="473"/>
      <c r="D2323" s="473" t="s">
        <v>1833</v>
      </c>
      <c r="E2323" s="586"/>
      <c r="F2323" s="587" t="str">
        <f ca="1">"$/"&amp;G2257</f>
        <v>$/0</v>
      </c>
      <c r="G2323" s="537">
        <f>SUBTOTAL(9,G2280:G2322)</f>
        <v>0</v>
      </c>
    </row>
    <row r="2324" spans="1:7" ht="19.899999999999999" customHeight="1" x14ac:dyDescent="0.2">
      <c r="A2324" s="533"/>
      <c r="B2324" s="534"/>
      <c r="C2324" s="535"/>
      <c r="D2324" s="535" t="s">
        <v>2043</v>
      </c>
      <c r="E2324" s="536"/>
      <c r="F2324" s="589" t="str">
        <f ca="1">"$/"&amp;G2257</f>
        <v>$/0</v>
      </c>
      <c r="G2324" s="537">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16" t="s">
        <v>31</v>
      </c>
      <c r="B2326" s="717"/>
      <c r="C2326" s="717"/>
      <c r="D2326" s="717"/>
      <c r="E2326" s="717"/>
      <c r="F2326" s="717"/>
      <c r="G2326" s="718"/>
    </row>
    <row r="2327" spans="1:7" ht="19.899999999999999" customHeight="1" x14ac:dyDescent="0.2">
      <c r="A2327" s="516" t="s">
        <v>711</v>
      </c>
      <c r="B2327" s="467" t="str">
        <f>Comitente</f>
        <v>DIRECCIÓN PROVINCIAL DE VIALIDAD</v>
      </c>
      <c r="C2327" s="468"/>
      <c r="D2327" s="469"/>
      <c r="E2327" s="469"/>
      <c r="F2327" s="470"/>
      <c r="G2327" s="517"/>
    </row>
    <row r="2328" spans="1:7" ht="19.899999999999999" customHeight="1" x14ac:dyDescent="0.2">
      <c r="A2328" s="516" t="s">
        <v>712</v>
      </c>
      <c r="B2328" s="467">
        <f>Contratista</f>
        <v>0</v>
      </c>
      <c r="C2328" s="471"/>
      <c r="D2328" s="471"/>
      <c r="E2328" s="471"/>
      <c r="F2328" s="467"/>
      <c r="G2328" s="518"/>
    </row>
    <row r="2329" spans="1:7" ht="19.899999999999999" customHeight="1" x14ac:dyDescent="0.2">
      <c r="A2329" s="516" t="s">
        <v>21</v>
      </c>
      <c r="B2329" s="467" t="str">
        <f>Obra</f>
        <v>OBRA BÁSICA Y PAVIMENTACIÓN CALLE GÜEMES</v>
      </c>
      <c r="C2329" s="471"/>
      <c r="D2329" s="471"/>
      <c r="E2329" s="471"/>
      <c r="F2329" s="467" t="s">
        <v>32</v>
      </c>
      <c r="G2329" s="518">
        <f>Fecha_Base</f>
        <v>0</v>
      </c>
    </row>
    <row r="2330" spans="1:7" ht="19.899999999999999" customHeight="1" x14ac:dyDescent="0.2">
      <c r="A2330" s="519" t="s">
        <v>710</v>
      </c>
      <c r="B2330" s="472" t="str">
        <f>Ubicación</f>
        <v>Rawson - Santa Lucia</v>
      </c>
      <c r="C2330" s="472"/>
      <c r="D2330" s="473"/>
      <c r="E2330" s="474"/>
      <c r="F2330" s="475"/>
      <c r="G2330" s="520"/>
    </row>
    <row r="2331" spans="1:7" ht="19.899999999999999" customHeight="1" x14ac:dyDescent="0.2">
      <c r="A2331" s="519" t="s">
        <v>33</v>
      </c>
      <c r="B2331" s="476" t="str">
        <f>IFERROR(VALUE(LEFT(B2332,FIND(".",B2332)-1)),"")</f>
        <v/>
      </c>
      <c r="C2331" s="175">
        <f ca="1">IFERROR(VLOOKUP(B2331,T_Computo_Presupuesto,2,FALSE),0)</f>
        <v>0</v>
      </c>
      <c r="D2331" s="175"/>
      <c r="E2331" s="474"/>
      <c r="F2331" s="475"/>
      <c r="G2331" s="520"/>
    </row>
    <row r="2332" spans="1:7" ht="19.899999999999999" customHeight="1" x14ac:dyDescent="0.2">
      <c r="A2332" s="519" t="s">
        <v>22</v>
      </c>
      <c r="B2332" s="477" t="str">
        <f>IFERROR(VLOOKUP(COUNTIF($A$1:A2332,"ANALISIS DE PRECIOS"),T_NumeroItem,2,FALSE),"")</f>
        <v/>
      </c>
      <c r="C2332" s="719">
        <f ca="1">IFERROR(VLOOKUP(B2332,T_Computo_Presupuesto,2,FALSE),0)</f>
        <v>0</v>
      </c>
      <c r="D2332" s="719"/>
      <c r="E2332" s="719"/>
      <c r="F2332" s="472" t="s">
        <v>23</v>
      </c>
      <c r="G2332" s="521">
        <f ca="1">IFERROR(VLOOKUP(B2332,T_Computo_Presupuesto,4,FALSE),0)</f>
        <v>0</v>
      </c>
    </row>
    <row r="2333" spans="1:7" ht="19.899999999999999" customHeight="1" x14ac:dyDescent="0.2">
      <c r="A2333" s="519"/>
      <c r="B2333" s="472"/>
      <c r="C2333" s="175"/>
      <c r="D2333" s="473"/>
      <c r="E2333" s="474"/>
      <c r="F2333" s="175"/>
      <c r="G2333" s="522"/>
    </row>
    <row r="2334" spans="1:7" ht="19.899999999999999" customHeight="1" x14ac:dyDescent="0.2">
      <c r="A2334" s="523"/>
      <c r="B2334" s="478"/>
      <c r="C2334" s="479" t="s">
        <v>999</v>
      </c>
      <c r="D2334" s="478"/>
      <c r="E2334" s="478"/>
      <c r="F2334" s="478"/>
      <c r="G2334" s="524"/>
    </row>
    <row r="2335" spans="1:7" ht="19.899999999999999" customHeight="1" x14ac:dyDescent="0.2">
      <c r="A2335" s="519"/>
      <c r="B2335" s="480"/>
      <c r="C2335" s="175"/>
      <c r="D2335" s="473"/>
      <c r="E2335" s="474"/>
      <c r="F2335" s="472"/>
      <c r="G2335" s="521"/>
    </row>
    <row r="2336" spans="1:7" ht="19.899999999999999" customHeight="1" x14ac:dyDescent="0.2">
      <c r="A2336" s="519"/>
      <c r="B2336" s="480"/>
      <c r="C2336" s="481" t="s">
        <v>1000</v>
      </c>
      <c r="D2336" s="482" t="s">
        <v>24</v>
      </c>
      <c r="E2336" s="482" t="s">
        <v>1001</v>
      </c>
      <c r="F2336" s="482" t="s">
        <v>1002</v>
      </c>
      <c r="G2336" s="481" t="s">
        <v>1003</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1004</v>
      </c>
      <c r="D2348" s="472" t="s">
        <v>1001</v>
      </c>
      <c r="E2348" s="538">
        <f>SUMPRODUCT(D2337:D2346,E2337:E2346)</f>
        <v>0</v>
      </c>
      <c r="F2348" s="472" t="s">
        <v>1005</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1006</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06" t="s">
        <v>576</v>
      </c>
      <c r="B2352" s="707"/>
      <c r="C2352" s="708" t="s">
        <v>0</v>
      </c>
      <c r="D2352" s="720" t="s">
        <v>1866</v>
      </c>
      <c r="E2352" s="720" t="s">
        <v>1865</v>
      </c>
      <c r="F2352" s="712" t="s">
        <v>1007</v>
      </c>
      <c r="G2352" s="714" t="s">
        <v>26</v>
      </c>
    </row>
    <row r="2353" spans="1:7" ht="19.899999999999999" customHeight="1" x14ac:dyDescent="0.2">
      <c r="A2353" s="491" t="s">
        <v>577</v>
      </c>
      <c r="B2353" s="491" t="s">
        <v>578</v>
      </c>
      <c r="C2353" s="709"/>
      <c r="D2353" s="721"/>
      <c r="E2353" s="711"/>
      <c r="F2353" s="713"/>
      <c r="G2353" s="715"/>
    </row>
    <row r="2354" spans="1:7" ht="19.899999999999999" customHeight="1" x14ac:dyDescent="0.2">
      <c r="A2354" s="527"/>
      <c r="B2354" s="175"/>
      <c r="C2354" s="469" t="s">
        <v>1008</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27</v>
      </c>
      <c r="G2364" s="531">
        <f>SUBTOTAL(9,G2355:G2363)</f>
        <v>0</v>
      </c>
    </row>
    <row r="2365" spans="1:7" ht="19.899999999999999" customHeight="1" x14ac:dyDescent="0.2">
      <c r="A2365" s="527"/>
      <c r="B2365" s="175"/>
      <c r="C2365" s="469" t="s">
        <v>713</v>
      </c>
      <c r="D2365" s="473"/>
      <c r="E2365" s="474"/>
      <c r="F2365" s="475"/>
      <c r="G2365" s="528"/>
    </row>
    <row r="2366" spans="1:7" ht="19.899999999999999" customHeight="1" x14ac:dyDescent="0.2">
      <c r="A2366" s="706" t="s">
        <v>576</v>
      </c>
      <c r="B2366" s="707"/>
      <c r="C2366" s="708" t="s">
        <v>0</v>
      </c>
      <c r="D2366" s="710" t="s">
        <v>24</v>
      </c>
      <c r="E2366" s="710" t="s">
        <v>1832</v>
      </c>
      <c r="F2366" s="712" t="s">
        <v>1007</v>
      </c>
      <c r="G2366" s="714" t="s">
        <v>26</v>
      </c>
    </row>
    <row r="2367" spans="1:7" ht="19.899999999999999" customHeight="1" x14ac:dyDescent="0.2">
      <c r="A2367" s="491" t="s">
        <v>577</v>
      </c>
      <c r="B2367" s="491" t="s">
        <v>578</v>
      </c>
      <c r="C2367" s="709"/>
      <c r="D2367" s="711"/>
      <c r="E2367" s="711"/>
      <c r="F2367" s="713"/>
      <c r="G2367" s="715"/>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28</v>
      </c>
      <c r="G2375" s="532">
        <f>SUBTOTAL(9,G2368:G2374)</f>
        <v>0</v>
      </c>
    </row>
    <row r="2376" spans="1:7" ht="19.899999999999999" customHeight="1" x14ac:dyDescent="0.2">
      <c r="A2376" s="527"/>
      <c r="B2376" s="175"/>
      <c r="C2376" s="469" t="s">
        <v>1014</v>
      </c>
      <c r="D2376" s="473"/>
      <c r="E2376" s="474"/>
      <c r="F2376" s="475"/>
      <c r="G2376" s="528"/>
    </row>
    <row r="2377" spans="1:7" ht="19.899999999999999" customHeight="1" x14ac:dyDescent="0.2">
      <c r="A2377" s="706" t="s">
        <v>576</v>
      </c>
      <c r="B2377" s="707"/>
      <c r="C2377" s="708" t="s">
        <v>0</v>
      </c>
      <c r="D2377" s="708" t="s">
        <v>1867</v>
      </c>
      <c r="E2377" s="710" t="s">
        <v>24</v>
      </c>
      <c r="F2377" s="712" t="s">
        <v>25</v>
      </c>
      <c r="G2377" s="714" t="s">
        <v>26</v>
      </c>
    </row>
    <row r="2378" spans="1:7" ht="19.899999999999999" customHeight="1" x14ac:dyDescent="0.2">
      <c r="A2378" s="491" t="s">
        <v>577</v>
      </c>
      <c r="B2378" s="491" t="s">
        <v>578</v>
      </c>
      <c r="C2378" s="709"/>
      <c r="D2378" s="709"/>
      <c r="E2378" s="711"/>
      <c r="F2378" s="713"/>
      <c r="G2378" s="715"/>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29</v>
      </c>
      <c r="G2390" s="532">
        <f>SUBTOTAL(9,G2379:G2389)</f>
        <v>0</v>
      </c>
    </row>
    <row r="2391" spans="1:7" ht="19.899999999999999" customHeight="1" x14ac:dyDescent="0.2">
      <c r="A2391" s="527"/>
      <c r="B2391" s="175"/>
      <c r="C2391" s="469" t="s">
        <v>1015</v>
      </c>
      <c r="D2391" s="473"/>
      <c r="E2391" s="474"/>
      <c r="F2391" s="475"/>
      <c r="G2391" s="528"/>
    </row>
    <row r="2392" spans="1:7" ht="19.899999999999999" customHeight="1" x14ac:dyDescent="0.2">
      <c r="A2392" s="706" t="s">
        <v>576</v>
      </c>
      <c r="B2392" s="707"/>
      <c r="C2392" s="708" t="s">
        <v>0</v>
      </c>
      <c r="D2392" s="708" t="s">
        <v>1867</v>
      </c>
      <c r="E2392" s="710" t="s">
        <v>24</v>
      </c>
      <c r="F2392" s="712" t="s">
        <v>25</v>
      </c>
      <c r="G2392" s="714" t="s">
        <v>26</v>
      </c>
    </row>
    <row r="2393" spans="1:7" ht="19.899999999999999" customHeight="1" x14ac:dyDescent="0.2">
      <c r="A2393" s="491" t="s">
        <v>577</v>
      </c>
      <c r="B2393" s="491" t="s">
        <v>578</v>
      </c>
      <c r="C2393" s="709"/>
      <c r="D2393" s="709"/>
      <c r="E2393" s="711"/>
      <c r="F2393" s="713"/>
      <c r="G2393" s="715"/>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1016</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1833</v>
      </c>
      <c r="E2398" s="586"/>
      <c r="F2398" s="587" t="str">
        <f ca="1">"$/"&amp;G2332</f>
        <v>$/0</v>
      </c>
      <c r="G2398" s="537">
        <f>SUBTOTAL(9,G2355:G2397)</f>
        <v>0</v>
      </c>
    </row>
    <row r="2399" spans="1:7" ht="19.899999999999999" customHeight="1" x14ac:dyDescent="0.2">
      <c r="A2399" s="533"/>
      <c r="B2399" s="534"/>
      <c r="C2399" s="535"/>
      <c r="D2399" s="535" t="s">
        <v>2043</v>
      </c>
      <c r="E2399" s="536"/>
      <c r="F2399" s="589" t="str">
        <f ca="1">"$/"&amp;G2332</f>
        <v>$/0</v>
      </c>
      <c r="G2399" s="537">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16" t="s">
        <v>31</v>
      </c>
      <c r="B2401" s="717"/>
      <c r="C2401" s="717"/>
      <c r="D2401" s="717"/>
      <c r="E2401" s="717"/>
      <c r="F2401" s="717"/>
      <c r="G2401" s="718"/>
    </row>
    <row r="2402" spans="1:7" ht="19.899999999999999" customHeight="1" x14ac:dyDescent="0.2">
      <c r="A2402" s="516" t="s">
        <v>711</v>
      </c>
      <c r="B2402" s="467" t="str">
        <f>Comitente</f>
        <v>DIRECCIÓN PROVINCIAL DE VIALIDAD</v>
      </c>
      <c r="C2402" s="468"/>
      <c r="D2402" s="469"/>
      <c r="E2402" s="469"/>
      <c r="F2402" s="470"/>
      <c r="G2402" s="517"/>
    </row>
    <row r="2403" spans="1:7" ht="19.899999999999999" customHeight="1" x14ac:dyDescent="0.2">
      <c r="A2403" s="516" t="s">
        <v>712</v>
      </c>
      <c r="B2403" s="467">
        <f>Contratista</f>
        <v>0</v>
      </c>
      <c r="C2403" s="471"/>
      <c r="D2403" s="471"/>
      <c r="E2403" s="471"/>
      <c r="F2403" s="467"/>
      <c r="G2403" s="518"/>
    </row>
    <row r="2404" spans="1:7" ht="19.899999999999999" customHeight="1" x14ac:dyDescent="0.2">
      <c r="A2404" s="516" t="s">
        <v>21</v>
      </c>
      <c r="B2404" s="467" t="str">
        <f>Obra</f>
        <v>OBRA BÁSICA Y PAVIMENTACIÓN CALLE GÜEMES</v>
      </c>
      <c r="C2404" s="471"/>
      <c r="D2404" s="471"/>
      <c r="E2404" s="471"/>
      <c r="F2404" s="467" t="s">
        <v>32</v>
      </c>
      <c r="G2404" s="518">
        <f>Fecha_Base</f>
        <v>0</v>
      </c>
    </row>
    <row r="2405" spans="1:7" ht="19.899999999999999" customHeight="1" x14ac:dyDescent="0.2">
      <c r="A2405" s="519" t="s">
        <v>710</v>
      </c>
      <c r="B2405" s="472" t="str">
        <f>Ubicación</f>
        <v>Rawson - Santa Lucia</v>
      </c>
      <c r="C2405" s="472"/>
      <c r="D2405" s="473"/>
      <c r="E2405" s="474"/>
      <c r="F2405" s="475"/>
      <c r="G2405" s="520"/>
    </row>
    <row r="2406" spans="1:7" ht="19.899999999999999" customHeight="1" x14ac:dyDescent="0.2">
      <c r="A2406" s="519" t="s">
        <v>33</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22</v>
      </c>
      <c r="B2407" s="477" t="str">
        <f>IFERROR(VLOOKUP(COUNTIF($A$1:A2407,"ANALISIS DE PRECIOS"),T_NumeroItem,2,FALSE),"")</f>
        <v/>
      </c>
      <c r="C2407" s="719">
        <f ca="1">IFERROR(VLOOKUP(B2407,T_Computo_Presupuesto,2,FALSE),0)</f>
        <v>0</v>
      </c>
      <c r="D2407" s="719"/>
      <c r="E2407" s="719"/>
      <c r="F2407" s="472" t="s">
        <v>23</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999</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1000</v>
      </c>
      <c r="D2411" s="482" t="s">
        <v>24</v>
      </c>
      <c r="E2411" s="482" t="s">
        <v>1001</v>
      </c>
      <c r="F2411" s="482" t="s">
        <v>1002</v>
      </c>
      <c r="G2411" s="481" t="s">
        <v>1003</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1004</v>
      </c>
      <c r="D2423" s="472" t="s">
        <v>1001</v>
      </c>
      <c r="E2423" s="538">
        <f>SUMPRODUCT(D2412:D2421,E2412:E2421)</f>
        <v>0</v>
      </c>
      <c r="F2423" s="472" t="s">
        <v>1005</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1006</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06" t="s">
        <v>576</v>
      </c>
      <c r="B2427" s="707"/>
      <c r="C2427" s="708" t="s">
        <v>0</v>
      </c>
      <c r="D2427" s="720" t="s">
        <v>1866</v>
      </c>
      <c r="E2427" s="720" t="s">
        <v>1865</v>
      </c>
      <c r="F2427" s="712" t="s">
        <v>1007</v>
      </c>
      <c r="G2427" s="714" t="s">
        <v>26</v>
      </c>
    </row>
    <row r="2428" spans="1:7" ht="19.899999999999999" customHeight="1" x14ac:dyDescent="0.2">
      <c r="A2428" s="491" t="s">
        <v>577</v>
      </c>
      <c r="B2428" s="491" t="s">
        <v>578</v>
      </c>
      <c r="C2428" s="709"/>
      <c r="D2428" s="721"/>
      <c r="E2428" s="711"/>
      <c r="F2428" s="713"/>
      <c r="G2428" s="715"/>
    </row>
    <row r="2429" spans="1:7" ht="19.899999999999999" customHeight="1" x14ac:dyDescent="0.2">
      <c r="A2429" s="527"/>
      <c r="B2429" s="175"/>
      <c r="C2429" s="469" t="s">
        <v>1008</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27</v>
      </c>
      <c r="G2439" s="531">
        <f>SUBTOTAL(9,G2430:G2438)</f>
        <v>0</v>
      </c>
    </row>
    <row r="2440" spans="1:7" ht="19.899999999999999" customHeight="1" x14ac:dyDescent="0.2">
      <c r="A2440" s="527"/>
      <c r="B2440" s="175"/>
      <c r="C2440" s="469" t="s">
        <v>713</v>
      </c>
      <c r="D2440" s="473"/>
      <c r="E2440" s="474"/>
      <c r="F2440" s="475"/>
      <c r="G2440" s="528"/>
    </row>
    <row r="2441" spans="1:7" ht="19.899999999999999" customHeight="1" x14ac:dyDescent="0.2">
      <c r="A2441" s="706" t="s">
        <v>576</v>
      </c>
      <c r="B2441" s="707"/>
      <c r="C2441" s="708" t="s">
        <v>0</v>
      </c>
      <c r="D2441" s="710" t="s">
        <v>24</v>
      </c>
      <c r="E2441" s="710" t="s">
        <v>1832</v>
      </c>
      <c r="F2441" s="712" t="s">
        <v>1007</v>
      </c>
      <c r="G2441" s="714" t="s">
        <v>26</v>
      </c>
    </row>
    <row r="2442" spans="1:7" ht="19.899999999999999" customHeight="1" x14ac:dyDescent="0.2">
      <c r="A2442" s="491" t="s">
        <v>577</v>
      </c>
      <c r="B2442" s="491" t="s">
        <v>578</v>
      </c>
      <c r="C2442" s="709"/>
      <c r="D2442" s="711"/>
      <c r="E2442" s="711"/>
      <c r="F2442" s="713"/>
      <c r="G2442" s="715"/>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28</v>
      </c>
      <c r="G2450" s="532">
        <f>SUBTOTAL(9,G2443:G2449)</f>
        <v>0</v>
      </c>
    </row>
    <row r="2451" spans="1:7" ht="19.899999999999999" customHeight="1" x14ac:dyDescent="0.2">
      <c r="A2451" s="527"/>
      <c r="B2451" s="175"/>
      <c r="C2451" s="469" t="s">
        <v>1014</v>
      </c>
      <c r="D2451" s="473"/>
      <c r="E2451" s="474"/>
      <c r="F2451" s="475"/>
      <c r="G2451" s="528"/>
    </row>
    <row r="2452" spans="1:7" ht="19.899999999999999" customHeight="1" x14ac:dyDescent="0.2">
      <c r="A2452" s="706" t="s">
        <v>576</v>
      </c>
      <c r="B2452" s="707"/>
      <c r="C2452" s="708" t="s">
        <v>0</v>
      </c>
      <c r="D2452" s="708" t="s">
        <v>1867</v>
      </c>
      <c r="E2452" s="710" t="s">
        <v>24</v>
      </c>
      <c r="F2452" s="712" t="s">
        <v>25</v>
      </c>
      <c r="G2452" s="714" t="s">
        <v>26</v>
      </c>
    </row>
    <row r="2453" spans="1:7" ht="19.899999999999999" customHeight="1" x14ac:dyDescent="0.2">
      <c r="A2453" s="491" t="s">
        <v>577</v>
      </c>
      <c r="B2453" s="491" t="s">
        <v>578</v>
      </c>
      <c r="C2453" s="709"/>
      <c r="D2453" s="709"/>
      <c r="E2453" s="711"/>
      <c r="F2453" s="713"/>
      <c r="G2453" s="715"/>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29</v>
      </c>
      <c r="G2465" s="532">
        <f>SUBTOTAL(9,G2454:G2464)</f>
        <v>0</v>
      </c>
    </row>
    <row r="2466" spans="1:7" ht="19.899999999999999" customHeight="1" x14ac:dyDescent="0.2">
      <c r="A2466" s="527"/>
      <c r="B2466" s="175"/>
      <c r="C2466" s="469" t="s">
        <v>1015</v>
      </c>
      <c r="D2466" s="473"/>
      <c r="E2466" s="474"/>
      <c r="F2466" s="475"/>
      <c r="G2466" s="528"/>
    </row>
    <row r="2467" spans="1:7" ht="19.899999999999999" customHeight="1" x14ac:dyDescent="0.2">
      <c r="A2467" s="706" t="s">
        <v>576</v>
      </c>
      <c r="B2467" s="707"/>
      <c r="C2467" s="708" t="s">
        <v>0</v>
      </c>
      <c r="D2467" s="708" t="s">
        <v>1867</v>
      </c>
      <c r="E2467" s="710" t="s">
        <v>24</v>
      </c>
      <c r="F2467" s="712" t="s">
        <v>25</v>
      </c>
      <c r="G2467" s="714" t="s">
        <v>26</v>
      </c>
    </row>
    <row r="2468" spans="1:7" ht="19.899999999999999" customHeight="1" x14ac:dyDescent="0.2">
      <c r="A2468" s="491" t="s">
        <v>577</v>
      </c>
      <c r="B2468" s="491" t="s">
        <v>578</v>
      </c>
      <c r="C2468" s="709"/>
      <c r="D2468" s="709"/>
      <c r="E2468" s="711"/>
      <c r="F2468" s="713"/>
      <c r="G2468" s="715"/>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1016</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1833</v>
      </c>
      <c r="E2473" s="586"/>
      <c r="F2473" s="587" t="str">
        <f ca="1">"$/"&amp;G2407</f>
        <v>$/0</v>
      </c>
      <c r="G2473" s="537">
        <f>SUBTOTAL(9,G2430:G2472)</f>
        <v>0</v>
      </c>
    </row>
    <row r="2474" spans="1:7" ht="19.899999999999999" customHeight="1" x14ac:dyDescent="0.2">
      <c r="A2474" s="533"/>
      <c r="B2474" s="534"/>
      <c r="C2474" s="535"/>
      <c r="D2474" s="535" t="s">
        <v>2043</v>
      </c>
      <c r="E2474" s="536"/>
      <c r="F2474" s="589" t="str">
        <f ca="1">"$/"&amp;G2407</f>
        <v>$/0</v>
      </c>
      <c r="G2474" s="537">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16" t="s">
        <v>31</v>
      </c>
      <c r="B2476" s="717"/>
      <c r="C2476" s="717"/>
      <c r="D2476" s="717"/>
      <c r="E2476" s="717"/>
      <c r="F2476" s="717"/>
      <c r="G2476" s="718"/>
    </row>
    <row r="2477" spans="1:7" ht="19.899999999999999" customHeight="1" x14ac:dyDescent="0.2">
      <c r="A2477" s="516" t="s">
        <v>711</v>
      </c>
      <c r="B2477" s="467" t="str">
        <f>Comitente</f>
        <v>DIRECCIÓN PROVINCIAL DE VIALIDAD</v>
      </c>
      <c r="C2477" s="468"/>
      <c r="D2477" s="469"/>
      <c r="E2477" s="469"/>
      <c r="F2477" s="470"/>
      <c r="G2477" s="517"/>
    </row>
    <row r="2478" spans="1:7" ht="19.899999999999999" customHeight="1" x14ac:dyDescent="0.2">
      <c r="A2478" s="516" t="s">
        <v>712</v>
      </c>
      <c r="B2478" s="467">
        <f>Contratista</f>
        <v>0</v>
      </c>
      <c r="C2478" s="471"/>
      <c r="D2478" s="471"/>
      <c r="E2478" s="471"/>
      <c r="F2478" s="467"/>
      <c r="G2478" s="518"/>
    </row>
    <row r="2479" spans="1:7" ht="19.899999999999999" customHeight="1" x14ac:dyDescent="0.2">
      <c r="A2479" s="516" t="s">
        <v>21</v>
      </c>
      <c r="B2479" s="467" t="str">
        <f>Obra</f>
        <v>OBRA BÁSICA Y PAVIMENTACIÓN CALLE GÜEMES</v>
      </c>
      <c r="C2479" s="471"/>
      <c r="D2479" s="471"/>
      <c r="E2479" s="471"/>
      <c r="F2479" s="467" t="s">
        <v>32</v>
      </c>
      <c r="G2479" s="518">
        <f>Fecha_Base</f>
        <v>0</v>
      </c>
    </row>
    <row r="2480" spans="1:7" ht="19.899999999999999" customHeight="1" x14ac:dyDescent="0.2">
      <c r="A2480" s="519" t="s">
        <v>710</v>
      </c>
      <c r="B2480" s="472" t="str">
        <f>Ubicación</f>
        <v>Rawson - Santa Lucia</v>
      </c>
      <c r="C2480" s="472"/>
      <c r="D2480" s="473"/>
      <c r="E2480" s="474"/>
      <c r="F2480" s="475"/>
      <c r="G2480" s="520"/>
    </row>
    <row r="2481" spans="1:7" ht="19.899999999999999" customHeight="1" x14ac:dyDescent="0.2">
      <c r="A2481" s="519" t="s">
        <v>33</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22</v>
      </c>
      <c r="B2482" s="477" t="str">
        <f>IFERROR(VLOOKUP(COUNTIF($A$1:A2482,"ANALISIS DE PRECIOS"),T_NumeroItem,2,FALSE),"")</f>
        <v/>
      </c>
      <c r="C2482" s="719">
        <f ca="1">IFERROR(VLOOKUP(B2482,T_Computo_Presupuesto,2,FALSE),0)</f>
        <v>0</v>
      </c>
      <c r="D2482" s="719"/>
      <c r="E2482" s="719"/>
      <c r="F2482" s="472" t="s">
        <v>23</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999</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1000</v>
      </c>
      <c r="D2486" s="482" t="s">
        <v>24</v>
      </c>
      <c r="E2486" s="482" t="s">
        <v>1001</v>
      </c>
      <c r="F2486" s="482" t="s">
        <v>1002</v>
      </c>
      <c r="G2486" s="481" t="s">
        <v>1003</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1004</v>
      </c>
      <c r="D2498" s="472" t="s">
        <v>1001</v>
      </c>
      <c r="E2498" s="538">
        <f>SUMPRODUCT(D2487:D2496,E2487:E2496)</f>
        <v>0</v>
      </c>
      <c r="F2498" s="472" t="s">
        <v>1005</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1006</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06" t="s">
        <v>576</v>
      </c>
      <c r="B2502" s="707"/>
      <c r="C2502" s="708" t="s">
        <v>0</v>
      </c>
      <c r="D2502" s="720" t="s">
        <v>1866</v>
      </c>
      <c r="E2502" s="720" t="s">
        <v>1865</v>
      </c>
      <c r="F2502" s="712" t="s">
        <v>1007</v>
      </c>
      <c r="G2502" s="714" t="s">
        <v>26</v>
      </c>
    </row>
    <row r="2503" spans="1:7" ht="19.899999999999999" customHeight="1" x14ac:dyDescent="0.2">
      <c r="A2503" s="491" t="s">
        <v>577</v>
      </c>
      <c r="B2503" s="491" t="s">
        <v>578</v>
      </c>
      <c r="C2503" s="709"/>
      <c r="D2503" s="721"/>
      <c r="E2503" s="711"/>
      <c r="F2503" s="713"/>
      <c r="G2503" s="715"/>
    </row>
    <row r="2504" spans="1:7" ht="19.899999999999999" customHeight="1" x14ac:dyDescent="0.2">
      <c r="A2504" s="527"/>
      <c r="B2504" s="175"/>
      <c r="C2504" s="469" t="s">
        <v>1008</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27</v>
      </c>
      <c r="G2514" s="531">
        <f>SUBTOTAL(9,G2505:G2513)</f>
        <v>0</v>
      </c>
    </row>
    <row r="2515" spans="1:7" ht="19.899999999999999" customHeight="1" x14ac:dyDescent="0.2">
      <c r="A2515" s="527"/>
      <c r="B2515" s="175"/>
      <c r="C2515" s="469" t="s">
        <v>713</v>
      </c>
      <c r="D2515" s="473"/>
      <c r="E2515" s="474"/>
      <c r="F2515" s="475"/>
      <c r="G2515" s="528"/>
    </row>
    <row r="2516" spans="1:7" ht="19.899999999999999" customHeight="1" x14ac:dyDescent="0.2">
      <c r="A2516" s="706" t="s">
        <v>576</v>
      </c>
      <c r="B2516" s="707"/>
      <c r="C2516" s="708" t="s">
        <v>0</v>
      </c>
      <c r="D2516" s="710" t="s">
        <v>24</v>
      </c>
      <c r="E2516" s="710" t="s">
        <v>1832</v>
      </c>
      <c r="F2516" s="712" t="s">
        <v>1007</v>
      </c>
      <c r="G2516" s="714" t="s">
        <v>26</v>
      </c>
    </row>
    <row r="2517" spans="1:7" ht="19.899999999999999" customHeight="1" x14ac:dyDescent="0.2">
      <c r="A2517" s="491" t="s">
        <v>577</v>
      </c>
      <c r="B2517" s="491" t="s">
        <v>578</v>
      </c>
      <c r="C2517" s="709"/>
      <c r="D2517" s="711"/>
      <c r="E2517" s="711"/>
      <c r="F2517" s="713"/>
      <c r="G2517" s="715"/>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28</v>
      </c>
      <c r="G2525" s="532">
        <f>SUBTOTAL(9,G2518:G2524)</f>
        <v>0</v>
      </c>
    </row>
    <row r="2526" spans="1:7" ht="19.899999999999999" customHeight="1" x14ac:dyDescent="0.2">
      <c r="A2526" s="527"/>
      <c r="B2526" s="175"/>
      <c r="C2526" s="469" t="s">
        <v>1014</v>
      </c>
      <c r="D2526" s="473"/>
      <c r="E2526" s="474"/>
      <c r="F2526" s="475"/>
      <c r="G2526" s="528"/>
    </row>
    <row r="2527" spans="1:7" ht="19.899999999999999" customHeight="1" x14ac:dyDescent="0.2">
      <c r="A2527" s="706" t="s">
        <v>576</v>
      </c>
      <c r="B2527" s="707"/>
      <c r="C2527" s="708" t="s">
        <v>0</v>
      </c>
      <c r="D2527" s="708" t="s">
        <v>1867</v>
      </c>
      <c r="E2527" s="710" t="s">
        <v>24</v>
      </c>
      <c r="F2527" s="712" t="s">
        <v>25</v>
      </c>
      <c r="G2527" s="714" t="s">
        <v>26</v>
      </c>
    </row>
    <row r="2528" spans="1:7" ht="19.899999999999999" customHeight="1" x14ac:dyDescent="0.2">
      <c r="A2528" s="491" t="s">
        <v>577</v>
      </c>
      <c r="B2528" s="491" t="s">
        <v>578</v>
      </c>
      <c r="C2528" s="709"/>
      <c r="D2528" s="709"/>
      <c r="E2528" s="711"/>
      <c r="F2528" s="713"/>
      <c r="G2528" s="715"/>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29</v>
      </c>
      <c r="G2540" s="532">
        <f>SUBTOTAL(9,G2529:G2539)</f>
        <v>0</v>
      </c>
    </row>
    <row r="2541" spans="1:7" ht="19.899999999999999" customHeight="1" x14ac:dyDescent="0.2">
      <c r="A2541" s="527"/>
      <c r="B2541" s="175"/>
      <c r="C2541" s="469" t="s">
        <v>1015</v>
      </c>
      <c r="D2541" s="473"/>
      <c r="E2541" s="474"/>
      <c r="F2541" s="475"/>
      <c r="G2541" s="528"/>
    </row>
    <row r="2542" spans="1:7" ht="19.899999999999999" customHeight="1" x14ac:dyDescent="0.2">
      <c r="A2542" s="706" t="s">
        <v>576</v>
      </c>
      <c r="B2542" s="707"/>
      <c r="C2542" s="708" t="s">
        <v>0</v>
      </c>
      <c r="D2542" s="708" t="s">
        <v>1867</v>
      </c>
      <c r="E2542" s="710" t="s">
        <v>24</v>
      </c>
      <c r="F2542" s="712" t="s">
        <v>25</v>
      </c>
      <c r="G2542" s="714" t="s">
        <v>26</v>
      </c>
    </row>
    <row r="2543" spans="1:7" ht="19.899999999999999" customHeight="1" x14ac:dyDescent="0.2">
      <c r="A2543" s="491" t="s">
        <v>577</v>
      </c>
      <c r="B2543" s="491" t="s">
        <v>578</v>
      </c>
      <c r="C2543" s="709"/>
      <c r="D2543" s="709"/>
      <c r="E2543" s="711"/>
      <c r="F2543" s="713"/>
      <c r="G2543" s="715"/>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1016</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1833</v>
      </c>
      <c r="E2548" s="586"/>
      <c r="F2548" s="587" t="str">
        <f ca="1">"$/"&amp;G2482</f>
        <v>$/0</v>
      </c>
      <c r="G2548" s="537">
        <f>SUBTOTAL(9,G2505:G2547)</f>
        <v>0</v>
      </c>
    </row>
    <row r="2549" spans="1:7" ht="19.899999999999999" customHeight="1" x14ac:dyDescent="0.2">
      <c r="A2549" s="533"/>
      <c r="B2549" s="534"/>
      <c r="C2549" s="535"/>
      <c r="D2549" s="535" t="s">
        <v>2043</v>
      </c>
      <c r="E2549" s="536"/>
      <c r="F2549" s="589" t="str">
        <f ca="1">"$/"&amp;G2482</f>
        <v>$/0</v>
      </c>
      <c r="G2549" s="537">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16" t="s">
        <v>31</v>
      </c>
      <c r="B2551" s="717"/>
      <c r="C2551" s="717"/>
      <c r="D2551" s="717"/>
      <c r="E2551" s="717"/>
      <c r="F2551" s="717"/>
      <c r="G2551" s="718"/>
    </row>
    <row r="2552" spans="1:7" ht="19.899999999999999" customHeight="1" x14ac:dyDescent="0.2">
      <c r="A2552" s="516" t="s">
        <v>711</v>
      </c>
      <c r="B2552" s="467" t="str">
        <f>Comitente</f>
        <v>DIRECCIÓN PROVINCIAL DE VIALIDAD</v>
      </c>
      <c r="C2552" s="468"/>
      <c r="D2552" s="469"/>
      <c r="E2552" s="469"/>
      <c r="F2552" s="470"/>
      <c r="G2552" s="517"/>
    </row>
    <row r="2553" spans="1:7" ht="19.899999999999999" customHeight="1" x14ac:dyDescent="0.2">
      <c r="A2553" s="516" t="s">
        <v>712</v>
      </c>
      <c r="B2553" s="467">
        <f>Contratista</f>
        <v>0</v>
      </c>
      <c r="C2553" s="471"/>
      <c r="D2553" s="471"/>
      <c r="E2553" s="471"/>
      <c r="F2553" s="467"/>
      <c r="G2553" s="518"/>
    </row>
    <row r="2554" spans="1:7" ht="19.899999999999999" customHeight="1" x14ac:dyDescent="0.2">
      <c r="A2554" s="516" t="s">
        <v>21</v>
      </c>
      <c r="B2554" s="467" t="str">
        <f>Obra</f>
        <v>OBRA BÁSICA Y PAVIMENTACIÓN CALLE GÜEMES</v>
      </c>
      <c r="C2554" s="471"/>
      <c r="D2554" s="471"/>
      <c r="E2554" s="471"/>
      <c r="F2554" s="467" t="s">
        <v>32</v>
      </c>
      <c r="G2554" s="518">
        <f>Fecha_Base</f>
        <v>0</v>
      </c>
    </row>
    <row r="2555" spans="1:7" ht="19.899999999999999" customHeight="1" x14ac:dyDescent="0.2">
      <c r="A2555" s="519" t="s">
        <v>710</v>
      </c>
      <c r="B2555" s="472" t="str">
        <f>Ubicación</f>
        <v>Rawson - Santa Lucia</v>
      </c>
      <c r="C2555" s="472"/>
      <c r="D2555" s="473"/>
      <c r="E2555" s="474"/>
      <c r="F2555" s="475"/>
      <c r="G2555" s="520"/>
    </row>
    <row r="2556" spans="1:7" ht="19.899999999999999" customHeight="1" x14ac:dyDescent="0.2">
      <c r="A2556" s="519" t="s">
        <v>33</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22</v>
      </c>
      <c r="B2557" s="477" t="str">
        <f>IFERROR(VLOOKUP(COUNTIF($A$1:A2557,"ANALISIS DE PRECIOS"),T_NumeroItem,2,FALSE),"")</f>
        <v/>
      </c>
      <c r="C2557" s="719">
        <f ca="1">IFERROR(VLOOKUP(B2557,T_Computo_Presupuesto,2,FALSE),0)</f>
        <v>0</v>
      </c>
      <c r="D2557" s="719"/>
      <c r="E2557" s="719"/>
      <c r="F2557" s="472" t="s">
        <v>23</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999</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1000</v>
      </c>
      <c r="D2561" s="482" t="s">
        <v>24</v>
      </c>
      <c r="E2561" s="482" t="s">
        <v>1001</v>
      </c>
      <c r="F2561" s="482" t="s">
        <v>1002</v>
      </c>
      <c r="G2561" s="481" t="s">
        <v>1003</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1004</v>
      </c>
      <c r="D2573" s="472" t="s">
        <v>1001</v>
      </c>
      <c r="E2573" s="538">
        <f>SUMPRODUCT(D2562:D2571,E2562:E2571)</f>
        <v>0</v>
      </c>
      <c r="F2573" s="472" t="s">
        <v>1005</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1006</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06" t="s">
        <v>576</v>
      </c>
      <c r="B2577" s="707"/>
      <c r="C2577" s="708" t="s">
        <v>0</v>
      </c>
      <c r="D2577" s="720" t="s">
        <v>1866</v>
      </c>
      <c r="E2577" s="720" t="s">
        <v>1865</v>
      </c>
      <c r="F2577" s="712" t="s">
        <v>1007</v>
      </c>
      <c r="G2577" s="714" t="s">
        <v>26</v>
      </c>
    </row>
    <row r="2578" spans="1:7" ht="19.899999999999999" customHeight="1" x14ac:dyDescent="0.2">
      <c r="A2578" s="491" t="s">
        <v>577</v>
      </c>
      <c r="B2578" s="491" t="s">
        <v>578</v>
      </c>
      <c r="C2578" s="709"/>
      <c r="D2578" s="721"/>
      <c r="E2578" s="711"/>
      <c r="F2578" s="713"/>
      <c r="G2578" s="715"/>
    </row>
    <row r="2579" spans="1:7" ht="19.899999999999999" customHeight="1" x14ac:dyDescent="0.2">
      <c r="A2579" s="527"/>
      <c r="B2579" s="175"/>
      <c r="C2579" s="469" t="s">
        <v>1008</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27</v>
      </c>
      <c r="G2589" s="531">
        <f>SUBTOTAL(9,G2580:G2588)</f>
        <v>0</v>
      </c>
    </row>
    <row r="2590" spans="1:7" ht="19.899999999999999" customHeight="1" x14ac:dyDescent="0.2">
      <c r="A2590" s="527"/>
      <c r="B2590" s="175"/>
      <c r="C2590" s="469" t="s">
        <v>713</v>
      </c>
      <c r="D2590" s="473"/>
      <c r="E2590" s="474"/>
      <c r="F2590" s="475"/>
      <c r="G2590" s="528"/>
    </row>
    <row r="2591" spans="1:7" ht="19.899999999999999" customHeight="1" x14ac:dyDescent="0.2">
      <c r="A2591" s="706" t="s">
        <v>576</v>
      </c>
      <c r="B2591" s="707"/>
      <c r="C2591" s="708" t="s">
        <v>0</v>
      </c>
      <c r="D2591" s="710" t="s">
        <v>24</v>
      </c>
      <c r="E2591" s="710" t="s">
        <v>1832</v>
      </c>
      <c r="F2591" s="712" t="s">
        <v>1007</v>
      </c>
      <c r="G2591" s="714" t="s">
        <v>26</v>
      </c>
    </row>
    <row r="2592" spans="1:7" ht="19.899999999999999" customHeight="1" x14ac:dyDescent="0.2">
      <c r="A2592" s="491" t="s">
        <v>577</v>
      </c>
      <c r="B2592" s="491" t="s">
        <v>578</v>
      </c>
      <c r="C2592" s="709"/>
      <c r="D2592" s="711"/>
      <c r="E2592" s="711"/>
      <c r="F2592" s="713"/>
      <c r="G2592" s="715"/>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28</v>
      </c>
      <c r="G2600" s="532">
        <f>SUBTOTAL(9,G2593:G2599)</f>
        <v>0</v>
      </c>
    </row>
    <row r="2601" spans="1:7" ht="19.899999999999999" customHeight="1" x14ac:dyDescent="0.2">
      <c r="A2601" s="527"/>
      <c r="B2601" s="175"/>
      <c r="C2601" s="469" t="s">
        <v>1014</v>
      </c>
      <c r="D2601" s="473"/>
      <c r="E2601" s="474"/>
      <c r="F2601" s="475"/>
      <c r="G2601" s="528"/>
    </row>
    <row r="2602" spans="1:7" ht="19.899999999999999" customHeight="1" x14ac:dyDescent="0.2">
      <c r="A2602" s="706" t="s">
        <v>576</v>
      </c>
      <c r="B2602" s="707"/>
      <c r="C2602" s="708" t="s">
        <v>0</v>
      </c>
      <c r="D2602" s="708" t="s">
        <v>1867</v>
      </c>
      <c r="E2602" s="710" t="s">
        <v>24</v>
      </c>
      <c r="F2602" s="712" t="s">
        <v>25</v>
      </c>
      <c r="G2602" s="714" t="s">
        <v>26</v>
      </c>
    </row>
    <row r="2603" spans="1:7" ht="19.899999999999999" customHeight="1" x14ac:dyDescent="0.2">
      <c r="A2603" s="491" t="s">
        <v>577</v>
      </c>
      <c r="B2603" s="491" t="s">
        <v>578</v>
      </c>
      <c r="C2603" s="709"/>
      <c r="D2603" s="709"/>
      <c r="E2603" s="711"/>
      <c r="F2603" s="713"/>
      <c r="G2603" s="715"/>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29</v>
      </c>
      <c r="G2615" s="532">
        <f>SUBTOTAL(9,G2604:G2614)</f>
        <v>0</v>
      </c>
    </row>
    <row r="2616" spans="1:7" ht="19.899999999999999" customHeight="1" x14ac:dyDescent="0.2">
      <c r="A2616" s="527"/>
      <c r="B2616" s="175"/>
      <c r="C2616" s="469" t="s">
        <v>1015</v>
      </c>
      <c r="D2616" s="473"/>
      <c r="E2616" s="474"/>
      <c r="F2616" s="475"/>
      <c r="G2616" s="528"/>
    </row>
    <row r="2617" spans="1:7" ht="19.899999999999999" customHeight="1" x14ac:dyDescent="0.2">
      <c r="A2617" s="706" t="s">
        <v>576</v>
      </c>
      <c r="B2617" s="707"/>
      <c r="C2617" s="708" t="s">
        <v>0</v>
      </c>
      <c r="D2617" s="708" t="s">
        <v>1867</v>
      </c>
      <c r="E2617" s="710" t="s">
        <v>24</v>
      </c>
      <c r="F2617" s="712" t="s">
        <v>25</v>
      </c>
      <c r="G2617" s="714" t="s">
        <v>26</v>
      </c>
    </row>
    <row r="2618" spans="1:7" ht="19.899999999999999" customHeight="1" x14ac:dyDescent="0.2">
      <c r="A2618" s="491" t="s">
        <v>577</v>
      </c>
      <c r="B2618" s="491" t="s">
        <v>578</v>
      </c>
      <c r="C2618" s="709"/>
      <c r="D2618" s="709"/>
      <c r="E2618" s="711"/>
      <c r="F2618" s="713"/>
      <c r="G2618" s="715"/>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1016</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1833</v>
      </c>
      <c r="E2623" s="586"/>
      <c r="F2623" s="587" t="str">
        <f ca="1">"$/"&amp;G2557</f>
        <v>$/0</v>
      </c>
      <c r="G2623" s="537">
        <f>SUBTOTAL(9,G2580:G2622)</f>
        <v>0</v>
      </c>
    </row>
    <row r="2624" spans="1:7" ht="19.899999999999999" customHeight="1" x14ac:dyDescent="0.2">
      <c r="A2624" s="533"/>
      <c r="B2624" s="534"/>
      <c r="C2624" s="535"/>
      <c r="D2624" s="535" t="s">
        <v>2043</v>
      </c>
      <c r="E2624" s="536"/>
      <c r="F2624" s="589" t="str">
        <f ca="1">"$/"&amp;G2557</f>
        <v>$/0</v>
      </c>
      <c r="G2624" s="537">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16" t="s">
        <v>31</v>
      </c>
      <c r="B2626" s="717"/>
      <c r="C2626" s="717"/>
      <c r="D2626" s="717"/>
      <c r="E2626" s="717"/>
      <c r="F2626" s="717"/>
      <c r="G2626" s="718"/>
    </row>
    <row r="2627" spans="1:7" ht="19.899999999999999" customHeight="1" x14ac:dyDescent="0.2">
      <c r="A2627" s="516" t="s">
        <v>711</v>
      </c>
      <c r="B2627" s="467" t="str">
        <f>Comitente</f>
        <v>DIRECCIÓN PROVINCIAL DE VIALIDAD</v>
      </c>
      <c r="C2627" s="468"/>
      <c r="D2627" s="469"/>
      <c r="E2627" s="469"/>
      <c r="F2627" s="470"/>
      <c r="G2627" s="517"/>
    </row>
    <row r="2628" spans="1:7" ht="19.899999999999999" customHeight="1" x14ac:dyDescent="0.2">
      <c r="A2628" s="516" t="s">
        <v>712</v>
      </c>
      <c r="B2628" s="467">
        <f>Contratista</f>
        <v>0</v>
      </c>
      <c r="C2628" s="471"/>
      <c r="D2628" s="471"/>
      <c r="E2628" s="471"/>
      <c r="F2628" s="467"/>
      <c r="G2628" s="518"/>
    </row>
    <row r="2629" spans="1:7" ht="19.899999999999999" customHeight="1" x14ac:dyDescent="0.2">
      <c r="A2629" s="516" t="s">
        <v>21</v>
      </c>
      <c r="B2629" s="467" t="str">
        <f>Obra</f>
        <v>OBRA BÁSICA Y PAVIMENTACIÓN CALLE GÜEMES</v>
      </c>
      <c r="C2629" s="471"/>
      <c r="D2629" s="471"/>
      <c r="E2629" s="471"/>
      <c r="F2629" s="467" t="s">
        <v>32</v>
      </c>
      <c r="G2629" s="518">
        <f>Fecha_Base</f>
        <v>0</v>
      </c>
    </row>
    <row r="2630" spans="1:7" ht="19.899999999999999" customHeight="1" x14ac:dyDescent="0.2">
      <c r="A2630" s="519" t="s">
        <v>710</v>
      </c>
      <c r="B2630" s="472" t="str">
        <f>Ubicación</f>
        <v>Rawson - Santa Lucia</v>
      </c>
      <c r="C2630" s="472"/>
      <c r="D2630" s="473"/>
      <c r="E2630" s="474"/>
      <c r="F2630" s="475"/>
      <c r="G2630" s="520"/>
    </row>
    <row r="2631" spans="1:7" ht="19.899999999999999" customHeight="1" x14ac:dyDescent="0.2">
      <c r="A2631" s="519" t="s">
        <v>33</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22</v>
      </c>
      <c r="B2632" s="477" t="str">
        <f>IFERROR(VLOOKUP(COUNTIF($A$1:A2632,"ANALISIS DE PRECIOS"),T_NumeroItem,2,FALSE),"")</f>
        <v/>
      </c>
      <c r="C2632" s="719">
        <f ca="1">IFERROR(VLOOKUP(B2632,T_Computo_Presupuesto,2,FALSE),0)</f>
        <v>0</v>
      </c>
      <c r="D2632" s="719"/>
      <c r="E2632" s="719"/>
      <c r="F2632" s="472" t="s">
        <v>23</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999</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1000</v>
      </c>
      <c r="D2636" s="482" t="s">
        <v>24</v>
      </c>
      <c r="E2636" s="482" t="s">
        <v>1001</v>
      </c>
      <c r="F2636" s="482" t="s">
        <v>1002</v>
      </c>
      <c r="G2636" s="481" t="s">
        <v>1003</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1004</v>
      </c>
      <c r="D2648" s="472" t="s">
        <v>1001</v>
      </c>
      <c r="E2648" s="538">
        <f>SUMPRODUCT(D2637:D2646,E2637:E2646)</f>
        <v>0</v>
      </c>
      <c r="F2648" s="472" t="s">
        <v>1005</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1006</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06" t="s">
        <v>576</v>
      </c>
      <c r="B2652" s="707"/>
      <c r="C2652" s="708" t="s">
        <v>0</v>
      </c>
      <c r="D2652" s="720" t="s">
        <v>1866</v>
      </c>
      <c r="E2652" s="720" t="s">
        <v>1865</v>
      </c>
      <c r="F2652" s="712" t="s">
        <v>1007</v>
      </c>
      <c r="G2652" s="714" t="s">
        <v>26</v>
      </c>
    </row>
    <row r="2653" spans="1:7" ht="19.899999999999999" customHeight="1" x14ac:dyDescent="0.2">
      <c r="A2653" s="491" t="s">
        <v>577</v>
      </c>
      <c r="B2653" s="491" t="s">
        <v>578</v>
      </c>
      <c r="C2653" s="709"/>
      <c r="D2653" s="721"/>
      <c r="E2653" s="711"/>
      <c r="F2653" s="713"/>
      <c r="G2653" s="715"/>
    </row>
    <row r="2654" spans="1:7" ht="19.899999999999999" customHeight="1" x14ac:dyDescent="0.2">
      <c r="A2654" s="527"/>
      <c r="B2654" s="175"/>
      <c r="C2654" s="469" t="s">
        <v>1008</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27</v>
      </c>
      <c r="G2664" s="531">
        <f>SUBTOTAL(9,G2655:G2663)</f>
        <v>0</v>
      </c>
    </row>
    <row r="2665" spans="1:7" ht="19.899999999999999" customHeight="1" x14ac:dyDescent="0.2">
      <c r="A2665" s="527"/>
      <c r="B2665" s="175"/>
      <c r="C2665" s="469" t="s">
        <v>713</v>
      </c>
      <c r="D2665" s="473"/>
      <c r="E2665" s="474"/>
      <c r="F2665" s="475"/>
      <c r="G2665" s="528"/>
    </row>
    <row r="2666" spans="1:7" ht="19.899999999999999" customHeight="1" x14ac:dyDescent="0.2">
      <c r="A2666" s="706" t="s">
        <v>576</v>
      </c>
      <c r="B2666" s="707"/>
      <c r="C2666" s="708" t="s">
        <v>0</v>
      </c>
      <c r="D2666" s="710" t="s">
        <v>24</v>
      </c>
      <c r="E2666" s="710" t="s">
        <v>1832</v>
      </c>
      <c r="F2666" s="712" t="s">
        <v>1007</v>
      </c>
      <c r="G2666" s="714" t="s">
        <v>26</v>
      </c>
    </row>
    <row r="2667" spans="1:7" ht="19.899999999999999" customHeight="1" x14ac:dyDescent="0.2">
      <c r="A2667" s="491" t="s">
        <v>577</v>
      </c>
      <c r="B2667" s="491" t="s">
        <v>578</v>
      </c>
      <c r="C2667" s="709"/>
      <c r="D2667" s="711"/>
      <c r="E2667" s="711"/>
      <c r="F2667" s="713"/>
      <c r="G2667" s="715"/>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28</v>
      </c>
      <c r="G2675" s="532">
        <f>SUBTOTAL(9,G2668:G2674)</f>
        <v>0</v>
      </c>
    </row>
    <row r="2676" spans="1:7" ht="19.899999999999999" customHeight="1" x14ac:dyDescent="0.2">
      <c r="A2676" s="527"/>
      <c r="B2676" s="175"/>
      <c r="C2676" s="469" t="s">
        <v>1014</v>
      </c>
      <c r="D2676" s="473"/>
      <c r="E2676" s="474"/>
      <c r="F2676" s="475"/>
      <c r="G2676" s="528"/>
    </row>
    <row r="2677" spans="1:7" ht="19.899999999999999" customHeight="1" x14ac:dyDescent="0.2">
      <c r="A2677" s="706" t="s">
        <v>576</v>
      </c>
      <c r="B2677" s="707"/>
      <c r="C2677" s="708" t="s">
        <v>0</v>
      </c>
      <c r="D2677" s="708" t="s">
        <v>1867</v>
      </c>
      <c r="E2677" s="710" t="s">
        <v>24</v>
      </c>
      <c r="F2677" s="712" t="s">
        <v>25</v>
      </c>
      <c r="G2677" s="714" t="s">
        <v>26</v>
      </c>
    </row>
    <row r="2678" spans="1:7" ht="19.899999999999999" customHeight="1" x14ac:dyDescent="0.2">
      <c r="A2678" s="491" t="s">
        <v>577</v>
      </c>
      <c r="B2678" s="491" t="s">
        <v>578</v>
      </c>
      <c r="C2678" s="709"/>
      <c r="D2678" s="709"/>
      <c r="E2678" s="711"/>
      <c r="F2678" s="713"/>
      <c r="G2678" s="715"/>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29</v>
      </c>
      <c r="G2690" s="532">
        <f>SUBTOTAL(9,G2679:G2689)</f>
        <v>0</v>
      </c>
    </row>
    <row r="2691" spans="1:7" ht="19.899999999999999" customHeight="1" x14ac:dyDescent="0.2">
      <c r="A2691" s="527"/>
      <c r="B2691" s="175"/>
      <c r="C2691" s="469" t="s">
        <v>1015</v>
      </c>
      <c r="D2691" s="473"/>
      <c r="E2691" s="474"/>
      <c r="F2691" s="475"/>
      <c r="G2691" s="528"/>
    </row>
    <row r="2692" spans="1:7" ht="19.899999999999999" customHeight="1" x14ac:dyDescent="0.2">
      <c r="A2692" s="706" t="s">
        <v>576</v>
      </c>
      <c r="B2692" s="707"/>
      <c r="C2692" s="708" t="s">
        <v>0</v>
      </c>
      <c r="D2692" s="708" t="s">
        <v>1867</v>
      </c>
      <c r="E2692" s="710" t="s">
        <v>24</v>
      </c>
      <c r="F2692" s="712" t="s">
        <v>25</v>
      </c>
      <c r="G2692" s="714" t="s">
        <v>26</v>
      </c>
    </row>
    <row r="2693" spans="1:7" ht="19.899999999999999" customHeight="1" x14ac:dyDescent="0.2">
      <c r="A2693" s="491" t="s">
        <v>577</v>
      </c>
      <c r="B2693" s="491" t="s">
        <v>578</v>
      </c>
      <c r="C2693" s="709"/>
      <c r="D2693" s="709"/>
      <c r="E2693" s="711"/>
      <c r="F2693" s="713"/>
      <c r="G2693" s="715"/>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1016</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1833</v>
      </c>
      <c r="E2698" s="586"/>
      <c r="F2698" s="587" t="str">
        <f ca="1">"$/"&amp;G2632</f>
        <v>$/0</v>
      </c>
      <c r="G2698" s="537">
        <f>SUBTOTAL(9,G2655:G2697)</f>
        <v>0</v>
      </c>
    </row>
    <row r="2699" spans="1:7" ht="19.899999999999999" customHeight="1" x14ac:dyDescent="0.2">
      <c r="A2699" s="533"/>
      <c r="B2699" s="534"/>
      <c r="C2699" s="535"/>
      <c r="D2699" s="535" t="s">
        <v>2043</v>
      </c>
      <c r="E2699" s="536"/>
      <c r="F2699" s="589" t="str">
        <f ca="1">"$/"&amp;G2632</f>
        <v>$/0</v>
      </c>
      <c r="G2699" s="537">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16" t="s">
        <v>31</v>
      </c>
      <c r="B2701" s="717"/>
      <c r="C2701" s="717"/>
      <c r="D2701" s="717"/>
      <c r="E2701" s="717"/>
      <c r="F2701" s="717"/>
      <c r="G2701" s="718"/>
    </row>
    <row r="2702" spans="1:7" ht="19.899999999999999" customHeight="1" x14ac:dyDescent="0.2">
      <c r="A2702" s="516" t="s">
        <v>711</v>
      </c>
      <c r="B2702" s="467" t="str">
        <f>Comitente</f>
        <v>DIRECCIÓN PROVINCIAL DE VIALIDAD</v>
      </c>
      <c r="C2702" s="468"/>
      <c r="D2702" s="469"/>
      <c r="E2702" s="469"/>
      <c r="F2702" s="470"/>
      <c r="G2702" s="517"/>
    </row>
    <row r="2703" spans="1:7" ht="19.899999999999999" customHeight="1" x14ac:dyDescent="0.2">
      <c r="A2703" s="516" t="s">
        <v>712</v>
      </c>
      <c r="B2703" s="467">
        <f>Contratista</f>
        <v>0</v>
      </c>
      <c r="C2703" s="471"/>
      <c r="D2703" s="471"/>
      <c r="E2703" s="471"/>
      <c r="F2703" s="467"/>
      <c r="G2703" s="518"/>
    </row>
    <row r="2704" spans="1:7" ht="19.899999999999999" customHeight="1" x14ac:dyDescent="0.2">
      <c r="A2704" s="516" t="s">
        <v>21</v>
      </c>
      <c r="B2704" s="467" t="str">
        <f>Obra</f>
        <v>OBRA BÁSICA Y PAVIMENTACIÓN CALLE GÜEMES</v>
      </c>
      <c r="C2704" s="471"/>
      <c r="D2704" s="471"/>
      <c r="E2704" s="471"/>
      <c r="F2704" s="467" t="s">
        <v>32</v>
      </c>
      <c r="G2704" s="518">
        <f>Fecha_Base</f>
        <v>0</v>
      </c>
    </row>
    <row r="2705" spans="1:7" ht="19.899999999999999" customHeight="1" x14ac:dyDescent="0.2">
      <c r="A2705" s="519" t="s">
        <v>710</v>
      </c>
      <c r="B2705" s="472" t="str">
        <f>Ubicación</f>
        <v>Rawson - Santa Lucia</v>
      </c>
      <c r="C2705" s="472"/>
      <c r="D2705" s="473"/>
      <c r="E2705" s="474"/>
      <c r="F2705" s="475"/>
      <c r="G2705" s="520"/>
    </row>
    <row r="2706" spans="1:7" ht="19.899999999999999" customHeight="1" x14ac:dyDescent="0.2">
      <c r="A2706" s="519" t="s">
        <v>33</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22</v>
      </c>
      <c r="B2707" s="477" t="str">
        <f>IFERROR(VLOOKUP(COUNTIF($A$1:A2707,"ANALISIS DE PRECIOS"),T_NumeroItem,2,FALSE),"")</f>
        <v/>
      </c>
      <c r="C2707" s="719">
        <f ca="1">IFERROR(VLOOKUP(B2707,T_Computo_Presupuesto,2,FALSE),0)</f>
        <v>0</v>
      </c>
      <c r="D2707" s="719"/>
      <c r="E2707" s="719"/>
      <c r="F2707" s="472" t="s">
        <v>23</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999</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1000</v>
      </c>
      <c r="D2711" s="482" t="s">
        <v>24</v>
      </c>
      <c r="E2711" s="482" t="s">
        <v>1001</v>
      </c>
      <c r="F2711" s="482" t="s">
        <v>1002</v>
      </c>
      <c r="G2711" s="481" t="s">
        <v>1003</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1004</v>
      </c>
      <c r="D2723" s="472" t="s">
        <v>1001</v>
      </c>
      <c r="E2723" s="538">
        <f>SUMPRODUCT(D2712:D2721,E2712:E2721)</f>
        <v>0</v>
      </c>
      <c r="F2723" s="472" t="s">
        <v>1005</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1006</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06" t="s">
        <v>576</v>
      </c>
      <c r="B2727" s="707"/>
      <c r="C2727" s="708" t="s">
        <v>0</v>
      </c>
      <c r="D2727" s="720" t="s">
        <v>1866</v>
      </c>
      <c r="E2727" s="720" t="s">
        <v>1865</v>
      </c>
      <c r="F2727" s="712" t="s">
        <v>1007</v>
      </c>
      <c r="G2727" s="714" t="s">
        <v>26</v>
      </c>
    </row>
    <row r="2728" spans="1:7" ht="19.899999999999999" customHeight="1" x14ac:dyDescent="0.2">
      <c r="A2728" s="491" t="s">
        <v>577</v>
      </c>
      <c r="B2728" s="491" t="s">
        <v>578</v>
      </c>
      <c r="C2728" s="709"/>
      <c r="D2728" s="721"/>
      <c r="E2728" s="711"/>
      <c r="F2728" s="713"/>
      <c r="G2728" s="715"/>
    </row>
    <row r="2729" spans="1:7" ht="19.899999999999999" customHeight="1" x14ac:dyDescent="0.2">
      <c r="A2729" s="527"/>
      <c r="B2729" s="175"/>
      <c r="C2729" s="469" t="s">
        <v>1008</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27</v>
      </c>
      <c r="G2739" s="531">
        <f>SUBTOTAL(9,G2730:G2738)</f>
        <v>0</v>
      </c>
    </row>
    <row r="2740" spans="1:7" ht="19.899999999999999" customHeight="1" x14ac:dyDescent="0.2">
      <c r="A2740" s="527"/>
      <c r="B2740" s="175"/>
      <c r="C2740" s="469" t="s">
        <v>713</v>
      </c>
      <c r="D2740" s="473"/>
      <c r="E2740" s="474"/>
      <c r="F2740" s="475"/>
      <c r="G2740" s="528"/>
    </row>
    <row r="2741" spans="1:7" ht="19.899999999999999" customHeight="1" x14ac:dyDescent="0.2">
      <c r="A2741" s="706" t="s">
        <v>576</v>
      </c>
      <c r="B2741" s="707"/>
      <c r="C2741" s="708" t="s">
        <v>0</v>
      </c>
      <c r="D2741" s="710" t="s">
        <v>24</v>
      </c>
      <c r="E2741" s="710" t="s">
        <v>1832</v>
      </c>
      <c r="F2741" s="712" t="s">
        <v>1007</v>
      </c>
      <c r="G2741" s="714" t="s">
        <v>26</v>
      </c>
    </row>
    <row r="2742" spans="1:7" ht="19.899999999999999" customHeight="1" x14ac:dyDescent="0.2">
      <c r="A2742" s="491" t="s">
        <v>577</v>
      </c>
      <c r="B2742" s="491" t="s">
        <v>578</v>
      </c>
      <c r="C2742" s="709"/>
      <c r="D2742" s="711"/>
      <c r="E2742" s="711"/>
      <c r="F2742" s="713"/>
      <c r="G2742" s="715"/>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28</v>
      </c>
      <c r="G2750" s="532">
        <f>SUBTOTAL(9,G2743:G2749)</f>
        <v>0</v>
      </c>
    </row>
    <row r="2751" spans="1:7" ht="19.899999999999999" customHeight="1" x14ac:dyDescent="0.2">
      <c r="A2751" s="527"/>
      <c r="B2751" s="175"/>
      <c r="C2751" s="469" t="s">
        <v>1014</v>
      </c>
      <c r="D2751" s="473"/>
      <c r="E2751" s="474"/>
      <c r="F2751" s="475"/>
      <c r="G2751" s="528"/>
    </row>
    <row r="2752" spans="1:7" ht="19.899999999999999" customHeight="1" x14ac:dyDescent="0.2">
      <c r="A2752" s="706" t="s">
        <v>576</v>
      </c>
      <c r="B2752" s="707"/>
      <c r="C2752" s="708" t="s">
        <v>0</v>
      </c>
      <c r="D2752" s="708" t="s">
        <v>1867</v>
      </c>
      <c r="E2752" s="710" t="s">
        <v>24</v>
      </c>
      <c r="F2752" s="712" t="s">
        <v>25</v>
      </c>
      <c r="G2752" s="714" t="s">
        <v>26</v>
      </c>
    </row>
    <row r="2753" spans="1:7" ht="19.899999999999999" customHeight="1" x14ac:dyDescent="0.2">
      <c r="A2753" s="491" t="s">
        <v>577</v>
      </c>
      <c r="B2753" s="491" t="s">
        <v>578</v>
      </c>
      <c r="C2753" s="709"/>
      <c r="D2753" s="709"/>
      <c r="E2753" s="711"/>
      <c r="F2753" s="713"/>
      <c r="G2753" s="715"/>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29</v>
      </c>
      <c r="G2765" s="532">
        <f>SUBTOTAL(9,G2754:G2764)</f>
        <v>0</v>
      </c>
    </row>
    <row r="2766" spans="1:7" ht="19.899999999999999" customHeight="1" x14ac:dyDescent="0.2">
      <c r="A2766" s="527"/>
      <c r="B2766" s="175"/>
      <c r="C2766" s="469" t="s">
        <v>1015</v>
      </c>
      <c r="D2766" s="473"/>
      <c r="E2766" s="474"/>
      <c r="F2766" s="475"/>
      <c r="G2766" s="528"/>
    </row>
    <row r="2767" spans="1:7" ht="19.899999999999999" customHeight="1" x14ac:dyDescent="0.2">
      <c r="A2767" s="706" t="s">
        <v>576</v>
      </c>
      <c r="B2767" s="707"/>
      <c r="C2767" s="708" t="s">
        <v>0</v>
      </c>
      <c r="D2767" s="708" t="s">
        <v>1867</v>
      </c>
      <c r="E2767" s="710" t="s">
        <v>24</v>
      </c>
      <c r="F2767" s="712" t="s">
        <v>25</v>
      </c>
      <c r="G2767" s="714" t="s">
        <v>26</v>
      </c>
    </row>
    <row r="2768" spans="1:7" ht="19.899999999999999" customHeight="1" x14ac:dyDescent="0.2">
      <c r="A2768" s="491" t="s">
        <v>577</v>
      </c>
      <c r="B2768" s="491" t="s">
        <v>578</v>
      </c>
      <c r="C2768" s="709"/>
      <c r="D2768" s="709"/>
      <c r="E2768" s="711"/>
      <c r="F2768" s="713"/>
      <c r="G2768" s="715"/>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1016</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1833</v>
      </c>
      <c r="E2773" s="586"/>
      <c r="F2773" s="587" t="str">
        <f ca="1">"$/"&amp;G2707</f>
        <v>$/0</v>
      </c>
      <c r="G2773" s="537">
        <f>SUBTOTAL(9,G2730:G2772)</f>
        <v>0</v>
      </c>
    </row>
    <row r="2774" spans="1:7" ht="19.899999999999999" customHeight="1" x14ac:dyDescent="0.2">
      <c r="A2774" s="533"/>
      <c r="B2774" s="534"/>
      <c r="C2774" s="535"/>
      <c r="D2774" s="535" t="s">
        <v>2043</v>
      </c>
      <c r="E2774" s="536"/>
      <c r="F2774" s="589" t="str">
        <f ca="1">"$/"&amp;G2707</f>
        <v>$/0</v>
      </c>
      <c r="G2774" s="537">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16" t="s">
        <v>31</v>
      </c>
      <c r="B2776" s="717"/>
      <c r="C2776" s="717"/>
      <c r="D2776" s="717"/>
      <c r="E2776" s="717"/>
      <c r="F2776" s="717"/>
      <c r="G2776" s="718"/>
    </row>
    <row r="2777" spans="1:7" ht="19.899999999999999" customHeight="1" x14ac:dyDescent="0.2">
      <c r="A2777" s="516" t="s">
        <v>711</v>
      </c>
      <c r="B2777" s="467" t="str">
        <f>Comitente</f>
        <v>DIRECCIÓN PROVINCIAL DE VIALIDAD</v>
      </c>
      <c r="C2777" s="468"/>
      <c r="D2777" s="469"/>
      <c r="E2777" s="469"/>
      <c r="F2777" s="470"/>
      <c r="G2777" s="517"/>
    </row>
    <row r="2778" spans="1:7" ht="19.899999999999999" customHeight="1" x14ac:dyDescent="0.2">
      <c r="A2778" s="516" t="s">
        <v>712</v>
      </c>
      <c r="B2778" s="467">
        <f>Contratista</f>
        <v>0</v>
      </c>
      <c r="C2778" s="471"/>
      <c r="D2778" s="471"/>
      <c r="E2778" s="471"/>
      <c r="F2778" s="467"/>
      <c r="G2778" s="518"/>
    </row>
    <row r="2779" spans="1:7" ht="19.899999999999999" customHeight="1" x14ac:dyDescent="0.2">
      <c r="A2779" s="516" t="s">
        <v>21</v>
      </c>
      <c r="B2779" s="467" t="str">
        <f>Obra</f>
        <v>OBRA BÁSICA Y PAVIMENTACIÓN CALLE GÜEMES</v>
      </c>
      <c r="C2779" s="471"/>
      <c r="D2779" s="471"/>
      <c r="E2779" s="471"/>
      <c r="F2779" s="467" t="s">
        <v>32</v>
      </c>
      <c r="G2779" s="518">
        <f>Fecha_Base</f>
        <v>0</v>
      </c>
    </row>
    <row r="2780" spans="1:7" ht="19.899999999999999" customHeight="1" x14ac:dyDescent="0.2">
      <c r="A2780" s="519" t="s">
        <v>710</v>
      </c>
      <c r="B2780" s="472" t="str">
        <f>Ubicación</f>
        <v>Rawson - Santa Lucia</v>
      </c>
      <c r="C2780" s="472"/>
      <c r="D2780" s="473"/>
      <c r="E2780" s="474"/>
      <c r="F2780" s="475"/>
      <c r="G2780" s="520"/>
    </row>
    <row r="2781" spans="1:7" ht="19.899999999999999" customHeight="1" x14ac:dyDescent="0.2">
      <c r="A2781" s="519" t="s">
        <v>33</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22</v>
      </c>
      <c r="B2782" s="477" t="str">
        <f>IFERROR(VLOOKUP(COUNTIF($A$1:A2782,"ANALISIS DE PRECIOS"),T_NumeroItem,2,FALSE),"")</f>
        <v/>
      </c>
      <c r="C2782" s="719">
        <f ca="1">IFERROR(VLOOKUP(B2782,T_Computo_Presupuesto,2,FALSE),0)</f>
        <v>0</v>
      </c>
      <c r="D2782" s="719"/>
      <c r="E2782" s="719"/>
      <c r="F2782" s="472" t="s">
        <v>23</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999</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1000</v>
      </c>
      <c r="D2786" s="482" t="s">
        <v>24</v>
      </c>
      <c r="E2786" s="482" t="s">
        <v>1001</v>
      </c>
      <c r="F2786" s="482" t="s">
        <v>1002</v>
      </c>
      <c r="G2786" s="481" t="s">
        <v>1003</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1004</v>
      </c>
      <c r="D2798" s="472" t="s">
        <v>1001</v>
      </c>
      <c r="E2798" s="538">
        <f>SUMPRODUCT(D2787:D2796,E2787:E2796)</f>
        <v>0</v>
      </c>
      <c r="F2798" s="472" t="s">
        <v>1005</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1006</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06" t="s">
        <v>576</v>
      </c>
      <c r="B2802" s="707"/>
      <c r="C2802" s="708" t="s">
        <v>0</v>
      </c>
      <c r="D2802" s="720" t="s">
        <v>1866</v>
      </c>
      <c r="E2802" s="720" t="s">
        <v>1865</v>
      </c>
      <c r="F2802" s="712" t="s">
        <v>1007</v>
      </c>
      <c r="G2802" s="714" t="s">
        <v>26</v>
      </c>
    </row>
    <row r="2803" spans="1:7" ht="19.899999999999999" customHeight="1" x14ac:dyDescent="0.2">
      <c r="A2803" s="491" t="s">
        <v>577</v>
      </c>
      <c r="B2803" s="491" t="s">
        <v>578</v>
      </c>
      <c r="C2803" s="709"/>
      <c r="D2803" s="721"/>
      <c r="E2803" s="711"/>
      <c r="F2803" s="713"/>
      <c r="G2803" s="715"/>
    </row>
    <row r="2804" spans="1:7" ht="19.899999999999999" customHeight="1" x14ac:dyDescent="0.2">
      <c r="A2804" s="527"/>
      <c r="B2804" s="175"/>
      <c r="C2804" s="469" t="s">
        <v>1008</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27</v>
      </c>
      <c r="G2814" s="531">
        <f>SUBTOTAL(9,G2805:G2813)</f>
        <v>0</v>
      </c>
    </row>
    <row r="2815" spans="1:7" ht="19.899999999999999" customHeight="1" x14ac:dyDescent="0.2">
      <c r="A2815" s="527"/>
      <c r="B2815" s="175"/>
      <c r="C2815" s="469" t="s">
        <v>713</v>
      </c>
      <c r="D2815" s="473"/>
      <c r="E2815" s="474"/>
      <c r="F2815" s="475"/>
      <c r="G2815" s="528"/>
    </row>
    <row r="2816" spans="1:7" ht="19.899999999999999" customHeight="1" x14ac:dyDescent="0.2">
      <c r="A2816" s="706" t="s">
        <v>576</v>
      </c>
      <c r="B2816" s="707"/>
      <c r="C2816" s="708" t="s">
        <v>0</v>
      </c>
      <c r="D2816" s="710" t="s">
        <v>24</v>
      </c>
      <c r="E2816" s="710" t="s">
        <v>1832</v>
      </c>
      <c r="F2816" s="712" t="s">
        <v>1007</v>
      </c>
      <c r="G2816" s="714" t="s">
        <v>26</v>
      </c>
    </row>
    <row r="2817" spans="1:7" ht="19.899999999999999" customHeight="1" x14ac:dyDescent="0.2">
      <c r="A2817" s="491" t="s">
        <v>577</v>
      </c>
      <c r="B2817" s="491" t="s">
        <v>578</v>
      </c>
      <c r="C2817" s="709"/>
      <c r="D2817" s="711"/>
      <c r="E2817" s="711"/>
      <c r="F2817" s="713"/>
      <c r="G2817" s="715"/>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28</v>
      </c>
      <c r="G2825" s="532">
        <f>SUBTOTAL(9,G2818:G2824)</f>
        <v>0</v>
      </c>
    </row>
    <row r="2826" spans="1:7" ht="19.899999999999999" customHeight="1" x14ac:dyDescent="0.2">
      <c r="A2826" s="527"/>
      <c r="B2826" s="175"/>
      <c r="C2826" s="469" t="s">
        <v>1014</v>
      </c>
      <c r="D2826" s="473"/>
      <c r="E2826" s="474"/>
      <c r="F2826" s="475"/>
      <c r="G2826" s="528"/>
    </row>
    <row r="2827" spans="1:7" ht="19.899999999999999" customHeight="1" x14ac:dyDescent="0.2">
      <c r="A2827" s="706" t="s">
        <v>576</v>
      </c>
      <c r="B2827" s="707"/>
      <c r="C2827" s="708" t="s">
        <v>0</v>
      </c>
      <c r="D2827" s="708" t="s">
        <v>1867</v>
      </c>
      <c r="E2827" s="710" t="s">
        <v>24</v>
      </c>
      <c r="F2827" s="712" t="s">
        <v>25</v>
      </c>
      <c r="G2827" s="714" t="s">
        <v>26</v>
      </c>
    </row>
    <row r="2828" spans="1:7" ht="19.899999999999999" customHeight="1" x14ac:dyDescent="0.2">
      <c r="A2828" s="491" t="s">
        <v>577</v>
      </c>
      <c r="B2828" s="491" t="s">
        <v>578</v>
      </c>
      <c r="C2828" s="709"/>
      <c r="D2828" s="709"/>
      <c r="E2828" s="711"/>
      <c r="F2828" s="713"/>
      <c r="G2828" s="715"/>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29</v>
      </c>
      <c r="G2840" s="532">
        <f>SUBTOTAL(9,G2829:G2839)</f>
        <v>0</v>
      </c>
    </row>
    <row r="2841" spans="1:7" ht="19.899999999999999" customHeight="1" x14ac:dyDescent="0.2">
      <c r="A2841" s="527"/>
      <c r="B2841" s="175"/>
      <c r="C2841" s="469" t="s">
        <v>1015</v>
      </c>
      <c r="D2841" s="473"/>
      <c r="E2841" s="474"/>
      <c r="F2841" s="475"/>
      <c r="G2841" s="528"/>
    </row>
    <row r="2842" spans="1:7" ht="19.899999999999999" customHeight="1" x14ac:dyDescent="0.2">
      <c r="A2842" s="706" t="s">
        <v>576</v>
      </c>
      <c r="B2842" s="707"/>
      <c r="C2842" s="708" t="s">
        <v>0</v>
      </c>
      <c r="D2842" s="708" t="s">
        <v>1867</v>
      </c>
      <c r="E2842" s="710" t="s">
        <v>24</v>
      </c>
      <c r="F2842" s="712" t="s">
        <v>25</v>
      </c>
      <c r="G2842" s="714" t="s">
        <v>26</v>
      </c>
    </row>
    <row r="2843" spans="1:7" ht="19.899999999999999" customHeight="1" x14ac:dyDescent="0.2">
      <c r="A2843" s="491" t="s">
        <v>577</v>
      </c>
      <c r="B2843" s="491" t="s">
        <v>578</v>
      </c>
      <c r="C2843" s="709"/>
      <c r="D2843" s="709"/>
      <c r="E2843" s="711"/>
      <c r="F2843" s="713"/>
      <c r="G2843" s="715"/>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1016</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1833</v>
      </c>
      <c r="E2848" s="586"/>
      <c r="F2848" s="587" t="str">
        <f ca="1">"$/"&amp;G2782</f>
        <v>$/0</v>
      </c>
      <c r="G2848" s="537">
        <f>SUBTOTAL(9,G2805:G2847)</f>
        <v>0</v>
      </c>
    </row>
    <row r="2849" spans="1:7" ht="19.899999999999999" customHeight="1" x14ac:dyDescent="0.2">
      <c r="A2849" s="533"/>
      <c r="B2849" s="534"/>
      <c r="C2849" s="535"/>
      <c r="D2849" s="535" t="s">
        <v>2043</v>
      </c>
      <c r="E2849" s="536"/>
      <c r="F2849" s="589" t="str">
        <f ca="1">"$/"&amp;G2782</f>
        <v>$/0</v>
      </c>
      <c r="G2849" s="537">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16" t="s">
        <v>31</v>
      </c>
      <c r="B2851" s="717"/>
      <c r="C2851" s="717"/>
      <c r="D2851" s="717"/>
      <c r="E2851" s="717"/>
      <c r="F2851" s="717"/>
      <c r="G2851" s="718"/>
    </row>
    <row r="2852" spans="1:7" ht="19.899999999999999" customHeight="1" x14ac:dyDescent="0.2">
      <c r="A2852" s="516" t="s">
        <v>711</v>
      </c>
      <c r="B2852" s="467" t="str">
        <f>Comitente</f>
        <v>DIRECCIÓN PROVINCIAL DE VIALIDAD</v>
      </c>
      <c r="C2852" s="468"/>
      <c r="D2852" s="469"/>
      <c r="E2852" s="469"/>
      <c r="F2852" s="470"/>
      <c r="G2852" s="517"/>
    </row>
    <row r="2853" spans="1:7" ht="19.899999999999999" customHeight="1" x14ac:dyDescent="0.2">
      <c r="A2853" s="516" t="s">
        <v>712</v>
      </c>
      <c r="B2853" s="467">
        <f>Contratista</f>
        <v>0</v>
      </c>
      <c r="C2853" s="471"/>
      <c r="D2853" s="471"/>
      <c r="E2853" s="471"/>
      <c r="F2853" s="467"/>
      <c r="G2853" s="518"/>
    </row>
    <row r="2854" spans="1:7" ht="19.899999999999999" customHeight="1" x14ac:dyDescent="0.2">
      <c r="A2854" s="516" t="s">
        <v>21</v>
      </c>
      <c r="B2854" s="467" t="str">
        <f>Obra</f>
        <v>OBRA BÁSICA Y PAVIMENTACIÓN CALLE GÜEMES</v>
      </c>
      <c r="C2854" s="471"/>
      <c r="D2854" s="471"/>
      <c r="E2854" s="471"/>
      <c r="F2854" s="467" t="s">
        <v>32</v>
      </c>
      <c r="G2854" s="518">
        <f>Fecha_Base</f>
        <v>0</v>
      </c>
    </row>
    <row r="2855" spans="1:7" ht="19.899999999999999" customHeight="1" x14ac:dyDescent="0.2">
      <c r="A2855" s="519" t="s">
        <v>710</v>
      </c>
      <c r="B2855" s="472" t="str">
        <f>Ubicación</f>
        <v>Rawson - Santa Lucia</v>
      </c>
      <c r="C2855" s="472"/>
      <c r="D2855" s="473"/>
      <c r="E2855" s="474"/>
      <c r="F2855" s="475"/>
      <c r="G2855" s="520"/>
    </row>
    <row r="2856" spans="1:7" ht="19.899999999999999" customHeight="1" x14ac:dyDescent="0.2">
      <c r="A2856" s="519" t="s">
        <v>33</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22</v>
      </c>
      <c r="B2857" s="477" t="str">
        <f>IFERROR(VLOOKUP(COUNTIF($A$1:A2857,"ANALISIS DE PRECIOS"),T_NumeroItem,2,FALSE),"")</f>
        <v/>
      </c>
      <c r="C2857" s="719">
        <f ca="1">IFERROR(VLOOKUP(B2857,T_Computo_Presupuesto,2,FALSE),0)</f>
        <v>0</v>
      </c>
      <c r="D2857" s="719"/>
      <c r="E2857" s="719"/>
      <c r="F2857" s="472" t="s">
        <v>23</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999</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1000</v>
      </c>
      <c r="D2861" s="482" t="s">
        <v>24</v>
      </c>
      <c r="E2861" s="482" t="s">
        <v>1001</v>
      </c>
      <c r="F2861" s="482" t="s">
        <v>1002</v>
      </c>
      <c r="G2861" s="481" t="s">
        <v>1003</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1004</v>
      </c>
      <c r="D2873" s="472" t="s">
        <v>1001</v>
      </c>
      <c r="E2873" s="538">
        <f>SUMPRODUCT(D2862:D2871,E2862:E2871)</f>
        <v>0</v>
      </c>
      <c r="F2873" s="472" t="s">
        <v>1005</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1006</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06" t="s">
        <v>576</v>
      </c>
      <c r="B2877" s="707"/>
      <c r="C2877" s="708" t="s">
        <v>0</v>
      </c>
      <c r="D2877" s="720" t="s">
        <v>1866</v>
      </c>
      <c r="E2877" s="720" t="s">
        <v>1865</v>
      </c>
      <c r="F2877" s="712" t="s">
        <v>1007</v>
      </c>
      <c r="G2877" s="714" t="s">
        <v>26</v>
      </c>
    </row>
    <row r="2878" spans="1:7" ht="19.899999999999999" customHeight="1" x14ac:dyDescent="0.2">
      <c r="A2878" s="491" t="s">
        <v>577</v>
      </c>
      <c r="B2878" s="491" t="s">
        <v>578</v>
      </c>
      <c r="C2878" s="709"/>
      <c r="D2878" s="721"/>
      <c r="E2878" s="711"/>
      <c r="F2878" s="713"/>
      <c r="G2878" s="715"/>
    </row>
    <row r="2879" spans="1:7" ht="19.899999999999999" customHeight="1" x14ac:dyDescent="0.2">
      <c r="A2879" s="527"/>
      <c r="B2879" s="175"/>
      <c r="C2879" s="469" t="s">
        <v>1008</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27</v>
      </c>
      <c r="G2889" s="531">
        <f>SUBTOTAL(9,G2880:G2888)</f>
        <v>0</v>
      </c>
    </row>
    <row r="2890" spans="1:7" ht="19.899999999999999" customHeight="1" x14ac:dyDescent="0.2">
      <c r="A2890" s="527"/>
      <c r="B2890" s="175"/>
      <c r="C2890" s="469" t="s">
        <v>713</v>
      </c>
      <c r="D2890" s="473"/>
      <c r="E2890" s="474"/>
      <c r="F2890" s="475"/>
      <c r="G2890" s="528"/>
    </row>
    <row r="2891" spans="1:7" ht="19.899999999999999" customHeight="1" x14ac:dyDescent="0.2">
      <c r="A2891" s="706" t="s">
        <v>576</v>
      </c>
      <c r="B2891" s="707"/>
      <c r="C2891" s="708" t="s">
        <v>0</v>
      </c>
      <c r="D2891" s="710" t="s">
        <v>24</v>
      </c>
      <c r="E2891" s="710" t="s">
        <v>1832</v>
      </c>
      <c r="F2891" s="712" t="s">
        <v>1007</v>
      </c>
      <c r="G2891" s="714" t="s">
        <v>26</v>
      </c>
    </row>
    <row r="2892" spans="1:7" ht="19.899999999999999" customHeight="1" x14ac:dyDescent="0.2">
      <c r="A2892" s="491" t="s">
        <v>577</v>
      </c>
      <c r="B2892" s="491" t="s">
        <v>578</v>
      </c>
      <c r="C2892" s="709"/>
      <c r="D2892" s="711"/>
      <c r="E2892" s="711"/>
      <c r="F2892" s="713"/>
      <c r="G2892" s="715"/>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28</v>
      </c>
      <c r="G2900" s="532">
        <f>SUBTOTAL(9,G2893:G2899)</f>
        <v>0</v>
      </c>
    </row>
    <row r="2901" spans="1:7" ht="19.899999999999999" customHeight="1" x14ac:dyDescent="0.2">
      <c r="A2901" s="527"/>
      <c r="B2901" s="175"/>
      <c r="C2901" s="469" t="s">
        <v>1014</v>
      </c>
      <c r="D2901" s="473"/>
      <c r="E2901" s="474"/>
      <c r="F2901" s="475"/>
      <c r="G2901" s="528"/>
    </row>
    <row r="2902" spans="1:7" ht="19.899999999999999" customHeight="1" x14ac:dyDescent="0.2">
      <c r="A2902" s="706" t="s">
        <v>576</v>
      </c>
      <c r="B2902" s="707"/>
      <c r="C2902" s="708" t="s">
        <v>0</v>
      </c>
      <c r="D2902" s="708" t="s">
        <v>1867</v>
      </c>
      <c r="E2902" s="710" t="s">
        <v>24</v>
      </c>
      <c r="F2902" s="712" t="s">
        <v>25</v>
      </c>
      <c r="G2902" s="714" t="s">
        <v>26</v>
      </c>
    </row>
    <row r="2903" spans="1:7" ht="19.899999999999999" customHeight="1" x14ac:dyDescent="0.2">
      <c r="A2903" s="491" t="s">
        <v>577</v>
      </c>
      <c r="B2903" s="491" t="s">
        <v>578</v>
      </c>
      <c r="C2903" s="709"/>
      <c r="D2903" s="709"/>
      <c r="E2903" s="711"/>
      <c r="F2903" s="713"/>
      <c r="G2903" s="715"/>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29</v>
      </c>
      <c r="G2915" s="532">
        <f>SUBTOTAL(9,G2904:G2914)</f>
        <v>0</v>
      </c>
    </row>
    <row r="2916" spans="1:7" ht="19.899999999999999" customHeight="1" x14ac:dyDescent="0.2">
      <c r="A2916" s="527"/>
      <c r="B2916" s="175"/>
      <c r="C2916" s="469" t="s">
        <v>1015</v>
      </c>
      <c r="D2916" s="473"/>
      <c r="E2916" s="474"/>
      <c r="F2916" s="475"/>
      <c r="G2916" s="528"/>
    </row>
    <row r="2917" spans="1:7" ht="19.899999999999999" customHeight="1" x14ac:dyDescent="0.2">
      <c r="A2917" s="706" t="s">
        <v>576</v>
      </c>
      <c r="B2917" s="707"/>
      <c r="C2917" s="708" t="s">
        <v>0</v>
      </c>
      <c r="D2917" s="708" t="s">
        <v>1867</v>
      </c>
      <c r="E2917" s="710" t="s">
        <v>24</v>
      </c>
      <c r="F2917" s="712" t="s">
        <v>25</v>
      </c>
      <c r="G2917" s="714" t="s">
        <v>26</v>
      </c>
    </row>
    <row r="2918" spans="1:7" ht="19.899999999999999" customHeight="1" x14ac:dyDescent="0.2">
      <c r="A2918" s="491" t="s">
        <v>577</v>
      </c>
      <c r="B2918" s="491" t="s">
        <v>578</v>
      </c>
      <c r="C2918" s="709"/>
      <c r="D2918" s="709"/>
      <c r="E2918" s="711"/>
      <c r="F2918" s="713"/>
      <c r="G2918" s="715"/>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1016</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1833</v>
      </c>
      <c r="E2923" s="586"/>
      <c r="F2923" s="587" t="str">
        <f ca="1">"$/"&amp;G2857</f>
        <v>$/0</v>
      </c>
      <c r="G2923" s="537">
        <f>SUBTOTAL(9,G2880:G2922)</f>
        <v>0</v>
      </c>
    </row>
    <row r="2924" spans="1:7" ht="19.899999999999999" customHeight="1" x14ac:dyDescent="0.2">
      <c r="A2924" s="533"/>
      <c r="B2924" s="534"/>
      <c r="C2924" s="535"/>
      <c r="D2924" s="535" t="s">
        <v>2043</v>
      </c>
      <c r="E2924" s="536"/>
      <c r="F2924" s="589" t="str">
        <f ca="1">"$/"&amp;G2857</f>
        <v>$/0</v>
      </c>
      <c r="G2924" s="537">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16" t="s">
        <v>31</v>
      </c>
      <c r="B2926" s="717"/>
      <c r="C2926" s="717"/>
      <c r="D2926" s="717"/>
      <c r="E2926" s="717"/>
      <c r="F2926" s="717"/>
      <c r="G2926" s="718"/>
    </row>
    <row r="2927" spans="1:7" ht="19.899999999999999" customHeight="1" x14ac:dyDescent="0.2">
      <c r="A2927" s="516" t="s">
        <v>711</v>
      </c>
      <c r="B2927" s="467" t="str">
        <f>Comitente</f>
        <v>DIRECCIÓN PROVINCIAL DE VIALIDAD</v>
      </c>
      <c r="C2927" s="468"/>
      <c r="D2927" s="469"/>
      <c r="E2927" s="469"/>
      <c r="F2927" s="470"/>
      <c r="G2927" s="517"/>
    </row>
    <row r="2928" spans="1:7" ht="19.899999999999999" customHeight="1" x14ac:dyDescent="0.2">
      <c r="A2928" s="516" t="s">
        <v>712</v>
      </c>
      <c r="B2928" s="467">
        <f>Contratista</f>
        <v>0</v>
      </c>
      <c r="C2928" s="471"/>
      <c r="D2928" s="471"/>
      <c r="E2928" s="471"/>
      <c r="F2928" s="467"/>
      <c r="G2928" s="518"/>
    </row>
    <row r="2929" spans="1:7" ht="19.899999999999999" customHeight="1" x14ac:dyDescent="0.2">
      <c r="A2929" s="516" t="s">
        <v>21</v>
      </c>
      <c r="B2929" s="467" t="str">
        <f>Obra</f>
        <v>OBRA BÁSICA Y PAVIMENTACIÓN CALLE GÜEMES</v>
      </c>
      <c r="C2929" s="471"/>
      <c r="D2929" s="471"/>
      <c r="E2929" s="471"/>
      <c r="F2929" s="467" t="s">
        <v>32</v>
      </c>
      <c r="G2929" s="518">
        <f>Fecha_Base</f>
        <v>0</v>
      </c>
    </row>
    <row r="2930" spans="1:7" ht="19.899999999999999" customHeight="1" x14ac:dyDescent="0.2">
      <c r="A2930" s="519" t="s">
        <v>710</v>
      </c>
      <c r="B2930" s="472" t="str">
        <f>Ubicación</f>
        <v>Rawson - Santa Lucia</v>
      </c>
      <c r="C2930" s="472"/>
      <c r="D2930" s="473"/>
      <c r="E2930" s="474"/>
      <c r="F2930" s="475"/>
      <c r="G2930" s="520"/>
    </row>
    <row r="2931" spans="1:7" ht="19.899999999999999" customHeight="1" x14ac:dyDescent="0.2">
      <c r="A2931" s="519" t="s">
        <v>33</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22</v>
      </c>
      <c r="B2932" s="477" t="str">
        <f>IFERROR(VLOOKUP(COUNTIF($A$1:A2932,"ANALISIS DE PRECIOS"),T_NumeroItem,2,FALSE),"")</f>
        <v/>
      </c>
      <c r="C2932" s="719">
        <f ca="1">IFERROR(VLOOKUP(B2932,T_Computo_Presupuesto,2,FALSE),0)</f>
        <v>0</v>
      </c>
      <c r="D2932" s="719"/>
      <c r="E2932" s="719"/>
      <c r="F2932" s="472" t="s">
        <v>23</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999</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1000</v>
      </c>
      <c r="D2936" s="482" t="s">
        <v>24</v>
      </c>
      <c r="E2936" s="482" t="s">
        <v>1001</v>
      </c>
      <c r="F2936" s="482" t="s">
        <v>1002</v>
      </c>
      <c r="G2936" s="481" t="s">
        <v>1003</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1004</v>
      </c>
      <c r="D2948" s="472" t="s">
        <v>1001</v>
      </c>
      <c r="E2948" s="538">
        <f>SUMPRODUCT(D2937:D2946,E2937:E2946)</f>
        <v>0</v>
      </c>
      <c r="F2948" s="472" t="s">
        <v>1005</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1006</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06" t="s">
        <v>576</v>
      </c>
      <c r="B2952" s="707"/>
      <c r="C2952" s="708" t="s">
        <v>0</v>
      </c>
      <c r="D2952" s="720" t="s">
        <v>1866</v>
      </c>
      <c r="E2952" s="720" t="s">
        <v>1865</v>
      </c>
      <c r="F2952" s="712" t="s">
        <v>1007</v>
      </c>
      <c r="G2952" s="714" t="s">
        <v>26</v>
      </c>
    </row>
    <row r="2953" spans="1:7" ht="19.899999999999999" customHeight="1" x14ac:dyDescent="0.2">
      <c r="A2953" s="491" t="s">
        <v>577</v>
      </c>
      <c r="B2953" s="491" t="s">
        <v>578</v>
      </c>
      <c r="C2953" s="709"/>
      <c r="D2953" s="721"/>
      <c r="E2953" s="711"/>
      <c r="F2953" s="713"/>
      <c r="G2953" s="715"/>
    </row>
    <row r="2954" spans="1:7" ht="19.899999999999999" customHeight="1" x14ac:dyDescent="0.2">
      <c r="A2954" s="527"/>
      <c r="B2954" s="175"/>
      <c r="C2954" s="469" t="s">
        <v>1008</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27</v>
      </c>
      <c r="G2964" s="531">
        <f>SUBTOTAL(9,G2955:G2963)</f>
        <v>0</v>
      </c>
    </row>
    <row r="2965" spans="1:7" ht="19.899999999999999" customHeight="1" x14ac:dyDescent="0.2">
      <c r="A2965" s="527"/>
      <c r="B2965" s="175"/>
      <c r="C2965" s="469" t="s">
        <v>713</v>
      </c>
      <c r="D2965" s="473"/>
      <c r="E2965" s="474"/>
      <c r="F2965" s="475"/>
      <c r="G2965" s="528"/>
    </row>
    <row r="2966" spans="1:7" ht="19.899999999999999" customHeight="1" x14ac:dyDescent="0.2">
      <c r="A2966" s="706" t="s">
        <v>576</v>
      </c>
      <c r="B2966" s="707"/>
      <c r="C2966" s="708" t="s">
        <v>0</v>
      </c>
      <c r="D2966" s="710" t="s">
        <v>24</v>
      </c>
      <c r="E2966" s="710" t="s">
        <v>1832</v>
      </c>
      <c r="F2966" s="712" t="s">
        <v>1007</v>
      </c>
      <c r="G2966" s="714" t="s">
        <v>26</v>
      </c>
    </row>
    <row r="2967" spans="1:7" ht="19.899999999999999" customHeight="1" x14ac:dyDescent="0.2">
      <c r="A2967" s="491" t="s">
        <v>577</v>
      </c>
      <c r="B2967" s="491" t="s">
        <v>578</v>
      </c>
      <c r="C2967" s="709"/>
      <c r="D2967" s="711"/>
      <c r="E2967" s="711"/>
      <c r="F2967" s="713"/>
      <c r="G2967" s="715"/>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28</v>
      </c>
      <c r="G2975" s="532">
        <f>SUBTOTAL(9,G2968:G2974)</f>
        <v>0</v>
      </c>
    </row>
    <row r="2976" spans="1:7" ht="19.899999999999999" customHeight="1" x14ac:dyDescent="0.2">
      <c r="A2976" s="527"/>
      <c r="B2976" s="175"/>
      <c r="C2976" s="469" t="s">
        <v>1014</v>
      </c>
      <c r="D2976" s="473"/>
      <c r="E2976" s="474"/>
      <c r="F2976" s="475"/>
      <c r="G2976" s="528"/>
    </row>
    <row r="2977" spans="1:7" ht="19.899999999999999" customHeight="1" x14ac:dyDescent="0.2">
      <c r="A2977" s="706" t="s">
        <v>576</v>
      </c>
      <c r="B2977" s="707"/>
      <c r="C2977" s="708" t="s">
        <v>0</v>
      </c>
      <c r="D2977" s="708" t="s">
        <v>1867</v>
      </c>
      <c r="E2977" s="710" t="s">
        <v>24</v>
      </c>
      <c r="F2977" s="712" t="s">
        <v>25</v>
      </c>
      <c r="G2977" s="714" t="s">
        <v>26</v>
      </c>
    </row>
    <row r="2978" spans="1:7" ht="19.899999999999999" customHeight="1" x14ac:dyDescent="0.2">
      <c r="A2978" s="491" t="s">
        <v>577</v>
      </c>
      <c r="B2978" s="491" t="s">
        <v>578</v>
      </c>
      <c r="C2978" s="709"/>
      <c r="D2978" s="709"/>
      <c r="E2978" s="711"/>
      <c r="F2978" s="713"/>
      <c r="G2978" s="715"/>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29</v>
      </c>
      <c r="G2990" s="532">
        <f>SUBTOTAL(9,G2979:G2989)</f>
        <v>0</v>
      </c>
    </row>
    <row r="2991" spans="1:7" ht="19.899999999999999" customHeight="1" x14ac:dyDescent="0.2">
      <c r="A2991" s="527"/>
      <c r="B2991" s="175"/>
      <c r="C2991" s="469" t="s">
        <v>1015</v>
      </c>
      <c r="D2991" s="473"/>
      <c r="E2991" s="474"/>
      <c r="F2991" s="475"/>
      <c r="G2991" s="528"/>
    </row>
    <row r="2992" spans="1:7" ht="19.899999999999999" customHeight="1" x14ac:dyDescent="0.2">
      <c r="A2992" s="706" t="s">
        <v>576</v>
      </c>
      <c r="B2992" s="707"/>
      <c r="C2992" s="708" t="s">
        <v>0</v>
      </c>
      <c r="D2992" s="708" t="s">
        <v>1867</v>
      </c>
      <c r="E2992" s="710" t="s">
        <v>24</v>
      </c>
      <c r="F2992" s="712" t="s">
        <v>25</v>
      </c>
      <c r="G2992" s="714" t="s">
        <v>26</v>
      </c>
    </row>
    <row r="2993" spans="1:7" ht="19.899999999999999" customHeight="1" x14ac:dyDescent="0.2">
      <c r="A2993" s="491" t="s">
        <v>577</v>
      </c>
      <c r="B2993" s="491" t="s">
        <v>578</v>
      </c>
      <c r="C2993" s="709"/>
      <c r="D2993" s="709"/>
      <c r="E2993" s="711"/>
      <c r="F2993" s="713"/>
      <c r="G2993" s="715"/>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1016</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1833</v>
      </c>
      <c r="E2998" s="586"/>
      <c r="F2998" s="587" t="str">
        <f ca="1">"$/"&amp;G2932</f>
        <v>$/0</v>
      </c>
      <c r="G2998" s="537">
        <f>SUBTOTAL(9,G2955:G2997)</f>
        <v>0</v>
      </c>
    </row>
    <row r="2999" spans="1:7" ht="19.899999999999999" customHeight="1" x14ac:dyDescent="0.2">
      <c r="A2999" s="533"/>
      <c r="B2999" s="534"/>
      <c r="C2999" s="535"/>
      <c r="D2999" s="535" t="s">
        <v>2043</v>
      </c>
      <c r="E2999" s="536"/>
      <c r="F2999" s="589" t="str">
        <f ca="1">"$/"&amp;G2932</f>
        <v>$/0</v>
      </c>
      <c r="G2999" s="537">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16" t="s">
        <v>31</v>
      </c>
      <c r="B3001" s="717"/>
      <c r="C3001" s="717"/>
      <c r="D3001" s="717"/>
      <c r="E3001" s="717"/>
      <c r="F3001" s="717"/>
      <c r="G3001" s="718"/>
    </row>
    <row r="3002" spans="1:7" ht="19.899999999999999" customHeight="1" x14ac:dyDescent="0.2">
      <c r="A3002" s="516" t="s">
        <v>711</v>
      </c>
      <c r="B3002" s="467" t="str">
        <f>Comitente</f>
        <v>DIRECCIÓN PROVINCIAL DE VIALIDAD</v>
      </c>
      <c r="C3002" s="468"/>
      <c r="D3002" s="469"/>
      <c r="E3002" s="469"/>
      <c r="F3002" s="470"/>
      <c r="G3002" s="517"/>
    </row>
    <row r="3003" spans="1:7" ht="19.899999999999999" customHeight="1" x14ac:dyDescent="0.2">
      <c r="A3003" s="516" t="s">
        <v>712</v>
      </c>
      <c r="B3003" s="467">
        <f>Contratista</f>
        <v>0</v>
      </c>
      <c r="C3003" s="471"/>
      <c r="D3003" s="471"/>
      <c r="E3003" s="471"/>
      <c r="F3003" s="467"/>
      <c r="G3003" s="518"/>
    </row>
    <row r="3004" spans="1:7" ht="19.899999999999999" customHeight="1" x14ac:dyDescent="0.2">
      <c r="A3004" s="516" t="s">
        <v>21</v>
      </c>
      <c r="B3004" s="467" t="str">
        <f>Obra</f>
        <v>OBRA BÁSICA Y PAVIMENTACIÓN CALLE GÜEMES</v>
      </c>
      <c r="C3004" s="471"/>
      <c r="D3004" s="471"/>
      <c r="E3004" s="471"/>
      <c r="F3004" s="467" t="s">
        <v>32</v>
      </c>
      <c r="G3004" s="518">
        <f>Fecha_Base</f>
        <v>0</v>
      </c>
    </row>
    <row r="3005" spans="1:7" ht="19.899999999999999" customHeight="1" x14ac:dyDescent="0.2">
      <c r="A3005" s="519" t="s">
        <v>710</v>
      </c>
      <c r="B3005" s="472" t="str">
        <f>Ubicación</f>
        <v>Rawson - Santa Lucia</v>
      </c>
      <c r="C3005" s="472"/>
      <c r="D3005" s="473"/>
      <c r="E3005" s="474"/>
      <c r="F3005" s="475"/>
      <c r="G3005" s="520"/>
    </row>
    <row r="3006" spans="1:7" ht="19.899999999999999" customHeight="1" x14ac:dyDescent="0.2">
      <c r="A3006" s="519" t="s">
        <v>33</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22</v>
      </c>
      <c r="B3007" s="477" t="str">
        <f>IFERROR(VLOOKUP(COUNTIF($A$1:A3007,"ANALISIS DE PRECIOS"),T_NumeroItem,2,FALSE),"")</f>
        <v/>
      </c>
      <c r="C3007" s="719">
        <f ca="1">IFERROR(VLOOKUP(B3007,T_Computo_Presupuesto,2,FALSE),0)</f>
        <v>0</v>
      </c>
      <c r="D3007" s="719"/>
      <c r="E3007" s="719"/>
      <c r="F3007" s="472" t="s">
        <v>23</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999</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1000</v>
      </c>
      <c r="D3011" s="482" t="s">
        <v>24</v>
      </c>
      <c r="E3011" s="482" t="s">
        <v>1001</v>
      </c>
      <c r="F3011" s="482" t="s">
        <v>1002</v>
      </c>
      <c r="G3011" s="481" t="s">
        <v>1003</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1004</v>
      </c>
      <c r="D3023" s="472" t="s">
        <v>1001</v>
      </c>
      <c r="E3023" s="538">
        <f>SUMPRODUCT(D3012:D3021,E3012:E3021)</f>
        <v>0</v>
      </c>
      <c r="F3023" s="472" t="s">
        <v>1005</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1006</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06" t="s">
        <v>576</v>
      </c>
      <c r="B3027" s="707"/>
      <c r="C3027" s="708" t="s">
        <v>0</v>
      </c>
      <c r="D3027" s="720" t="s">
        <v>1866</v>
      </c>
      <c r="E3027" s="720" t="s">
        <v>1865</v>
      </c>
      <c r="F3027" s="712" t="s">
        <v>1007</v>
      </c>
      <c r="G3027" s="714" t="s">
        <v>26</v>
      </c>
    </row>
    <row r="3028" spans="1:7" ht="19.899999999999999" customHeight="1" x14ac:dyDescent="0.2">
      <c r="A3028" s="491" t="s">
        <v>577</v>
      </c>
      <c r="B3028" s="491" t="s">
        <v>578</v>
      </c>
      <c r="C3028" s="709"/>
      <c r="D3028" s="721"/>
      <c r="E3028" s="711"/>
      <c r="F3028" s="713"/>
      <c r="G3028" s="715"/>
    </row>
    <row r="3029" spans="1:7" ht="19.899999999999999" customHeight="1" x14ac:dyDescent="0.2">
      <c r="A3029" s="527"/>
      <c r="B3029" s="175"/>
      <c r="C3029" s="469" t="s">
        <v>1008</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27</v>
      </c>
      <c r="G3039" s="531">
        <f>SUBTOTAL(9,G3030:G3038)</f>
        <v>0</v>
      </c>
    </row>
    <row r="3040" spans="1:7" ht="19.899999999999999" customHeight="1" x14ac:dyDescent="0.2">
      <c r="A3040" s="527"/>
      <c r="B3040" s="175"/>
      <c r="C3040" s="469" t="s">
        <v>713</v>
      </c>
      <c r="D3040" s="473"/>
      <c r="E3040" s="474"/>
      <c r="F3040" s="475"/>
      <c r="G3040" s="528"/>
    </row>
    <row r="3041" spans="1:7" ht="19.899999999999999" customHeight="1" x14ac:dyDescent="0.2">
      <c r="A3041" s="706" t="s">
        <v>576</v>
      </c>
      <c r="B3041" s="707"/>
      <c r="C3041" s="708" t="s">
        <v>0</v>
      </c>
      <c r="D3041" s="710" t="s">
        <v>24</v>
      </c>
      <c r="E3041" s="710" t="s">
        <v>1832</v>
      </c>
      <c r="F3041" s="712" t="s">
        <v>1007</v>
      </c>
      <c r="G3041" s="714" t="s">
        <v>26</v>
      </c>
    </row>
    <row r="3042" spans="1:7" ht="19.899999999999999" customHeight="1" x14ac:dyDescent="0.2">
      <c r="A3042" s="491" t="s">
        <v>577</v>
      </c>
      <c r="B3042" s="491" t="s">
        <v>578</v>
      </c>
      <c r="C3042" s="709"/>
      <c r="D3042" s="711"/>
      <c r="E3042" s="711"/>
      <c r="F3042" s="713"/>
      <c r="G3042" s="715"/>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28</v>
      </c>
      <c r="G3050" s="532">
        <f>SUBTOTAL(9,G3043:G3049)</f>
        <v>0</v>
      </c>
    </row>
    <row r="3051" spans="1:7" ht="19.899999999999999" customHeight="1" x14ac:dyDescent="0.2">
      <c r="A3051" s="527"/>
      <c r="B3051" s="175"/>
      <c r="C3051" s="469" t="s">
        <v>1014</v>
      </c>
      <c r="D3051" s="473"/>
      <c r="E3051" s="474"/>
      <c r="F3051" s="475"/>
      <c r="G3051" s="528"/>
    </row>
    <row r="3052" spans="1:7" ht="19.899999999999999" customHeight="1" x14ac:dyDescent="0.2">
      <c r="A3052" s="706" t="s">
        <v>576</v>
      </c>
      <c r="B3052" s="707"/>
      <c r="C3052" s="708" t="s">
        <v>0</v>
      </c>
      <c r="D3052" s="708" t="s">
        <v>1867</v>
      </c>
      <c r="E3052" s="710" t="s">
        <v>24</v>
      </c>
      <c r="F3052" s="712" t="s">
        <v>25</v>
      </c>
      <c r="G3052" s="714" t="s">
        <v>26</v>
      </c>
    </row>
    <row r="3053" spans="1:7" ht="19.899999999999999" customHeight="1" x14ac:dyDescent="0.2">
      <c r="A3053" s="491" t="s">
        <v>577</v>
      </c>
      <c r="B3053" s="491" t="s">
        <v>578</v>
      </c>
      <c r="C3053" s="709"/>
      <c r="D3053" s="709"/>
      <c r="E3053" s="711"/>
      <c r="F3053" s="713"/>
      <c r="G3053" s="715"/>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29</v>
      </c>
      <c r="G3065" s="532">
        <f>SUBTOTAL(9,G3054:G3064)</f>
        <v>0</v>
      </c>
    </row>
    <row r="3066" spans="1:7" ht="19.899999999999999" customHeight="1" x14ac:dyDescent="0.2">
      <c r="A3066" s="527"/>
      <c r="B3066" s="175"/>
      <c r="C3066" s="469" t="s">
        <v>1015</v>
      </c>
      <c r="D3066" s="473"/>
      <c r="E3066" s="474"/>
      <c r="F3066" s="475"/>
      <c r="G3066" s="528"/>
    </row>
    <row r="3067" spans="1:7" ht="19.899999999999999" customHeight="1" x14ac:dyDescent="0.2">
      <c r="A3067" s="706" t="s">
        <v>576</v>
      </c>
      <c r="B3067" s="707"/>
      <c r="C3067" s="708" t="s">
        <v>0</v>
      </c>
      <c r="D3067" s="708" t="s">
        <v>1867</v>
      </c>
      <c r="E3067" s="710" t="s">
        <v>24</v>
      </c>
      <c r="F3067" s="712" t="s">
        <v>25</v>
      </c>
      <c r="G3067" s="714" t="s">
        <v>26</v>
      </c>
    </row>
    <row r="3068" spans="1:7" ht="19.899999999999999" customHeight="1" x14ac:dyDescent="0.2">
      <c r="A3068" s="491" t="s">
        <v>577</v>
      </c>
      <c r="B3068" s="491" t="s">
        <v>578</v>
      </c>
      <c r="C3068" s="709"/>
      <c r="D3068" s="709"/>
      <c r="E3068" s="711"/>
      <c r="F3068" s="713"/>
      <c r="G3068" s="715"/>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1016</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1833</v>
      </c>
      <c r="E3073" s="586"/>
      <c r="F3073" s="587" t="str">
        <f ca="1">"$/"&amp;G3007</f>
        <v>$/0</v>
      </c>
      <c r="G3073" s="537">
        <f>SUBTOTAL(9,G3030:G3072)</f>
        <v>0</v>
      </c>
    </row>
    <row r="3074" spans="1:7" ht="19.899999999999999" customHeight="1" x14ac:dyDescent="0.2">
      <c r="A3074" s="533"/>
      <c r="B3074" s="534"/>
      <c r="C3074" s="535"/>
      <c r="D3074" s="535" t="s">
        <v>2043</v>
      </c>
      <c r="E3074" s="536"/>
      <c r="F3074" s="589" t="str">
        <f ca="1">"$/"&amp;G3007</f>
        <v>$/0</v>
      </c>
      <c r="G3074" s="537">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16" t="s">
        <v>31</v>
      </c>
      <c r="B3076" s="717"/>
      <c r="C3076" s="717"/>
      <c r="D3076" s="717"/>
      <c r="E3076" s="717"/>
      <c r="F3076" s="717"/>
      <c r="G3076" s="718"/>
    </row>
    <row r="3077" spans="1:7" ht="19.899999999999999" customHeight="1" x14ac:dyDescent="0.2">
      <c r="A3077" s="516" t="s">
        <v>711</v>
      </c>
      <c r="B3077" s="467" t="str">
        <f>Comitente</f>
        <v>DIRECCIÓN PROVINCIAL DE VIALIDAD</v>
      </c>
      <c r="C3077" s="468"/>
      <c r="D3077" s="469"/>
      <c r="E3077" s="469"/>
      <c r="F3077" s="470"/>
      <c r="G3077" s="517"/>
    </row>
    <row r="3078" spans="1:7" ht="19.899999999999999" customHeight="1" x14ac:dyDescent="0.2">
      <c r="A3078" s="516" t="s">
        <v>712</v>
      </c>
      <c r="B3078" s="467">
        <f>Contratista</f>
        <v>0</v>
      </c>
      <c r="C3078" s="471"/>
      <c r="D3078" s="471"/>
      <c r="E3078" s="471"/>
      <c r="F3078" s="467"/>
      <c r="G3078" s="518"/>
    </row>
    <row r="3079" spans="1:7" ht="19.899999999999999" customHeight="1" x14ac:dyDescent="0.2">
      <c r="A3079" s="516" t="s">
        <v>21</v>
      </c>
      <c r="B3079" s="467" t="str">
        <f>Obra</f>
        <v>OBRA BÁSICA Y PAVIMENTACIÓN CALLE GÜEMES</v>
      </c>
      <c r="C3079" s="471"/>
      <c r="D3079" s="471"/>
      <c r="E3079" s="471"/>
      <c r="F3079" s="467" t="s">
        <v>32</v>
      </c>
      <c r="G3079" s="518">
        <f>Fecha_Base</f>
        <v>0</v>
      </c>
    </row>
    <row r="3080" spans="1:7" ht="19.899999999999999" customHeight="1" x14ac:dyDescent="0.2">
      <c r="A3080" s="519" t="s">
        <v>710</v>
      </c>
      <c r="B3080" s="472" t="str">
        <f>Ubicación</f>
        <v>Rawson - Santa Lucia</v>
      </c>
      <c r="C3080" s="472"/>
      <c r="D3080" s="473"/>
      <c r="E3080" s="474"/>
      <c r="F3080" s="475"/>
      <c r="G3080" s="520"/>
    </row>
    <row r="3081" spans="1:7" ht="19.899999999999999" customHeight="1" x14ac:dyDescent="0.2">
      <c r="A3081" s="519" t="s">
        <v>33</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22</v>
      </c>
      <c r="B3082" s="477" t="str">
        <f>IFERROR(VLOOKUP(COUNTIF($A$1:A3082,"ANALISIS DE PRECIOS"),T_NumeroItem,2,FALSE),"")</f>
        <v/>
      </c>
      <c r="C3082" s="719">
        <f ca="1">IFERROR(VLOOKUP(B3082,T_Computo_Presupuesto,2,FALSE),0)</f>
        <v>0</v>
      </c>
      <c r="D3082" s="719"/>
      <c r="E3082" s="719"/>
      <c r="F3082" s="472" t="s">
        <v>23</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999</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1000</v>
      </c>
      <c r="D3086" s="482" t="s">
        <v>24</v>
      </c>
      <c r="E3086" s="482" t="s">
        <v>1001</v>
      </c>
      <c r="F3086" s="482" t="s">
        <v>1002</v>
      </c>
      <c r="G3086" s="481" t="s">
        <v>1003</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1004</v>
      </c>
      <c r="D3098" s="472" t="s">
        <v>1001</v>
      </c>
      <c r="E3098" s="538">
        <f>SUMPRODUCT(D3087:D3096,E3087:E3096)</f>
        <v>0</v>
      </c>
      <c r="F3098" s="472" t="s">
        <v>1005</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1006</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06" t="s">
        <v>576</v>
      </c>
      <c r="B3102" s="707"/>
      <c r="C3102" s="708" t="s">
        <v>0</v>
      </c>
      <c r="D3102" s="720" t="s">
        <v>1866</v>
      </c>
      <c r="E3102" s="720" t="s">
        <v>1865</v>
      </c>
      <c r="F3102" s="712" t="s">
        <v>1007</v>
      </c>
      <c r="G3102" s="714" t="s">
        <v>26</v>
      </c>
    </row>
    <row r="3103" spans="1:7" ht="19.899999999999999" customHeight="1" x14ac:dyDescent="0.2">
      <c r="A3103" s="491" t="s">
        <v>577</v>
      </c>
      <c r="B3103" s="491" t="s">
        <v>578</v>
      </c>
      <c r="C3103" s="709"/>
      <c r="D3103" s="721"/>
      <c r="E3103" s="711"/>
      <c r="F3103" s="713"/>
      <c r="G3103" s="715"/>
    </row>
    <row r="3104" spans="1:7" ht="19.899999999999999" customHeight="1" x14ac:dyDescent="0.2">
      <c r="A3104" s="527"/>
      <c r="B3104" s="175"/>
      <c r="C3104" s="469" t="s">
        <v>1008</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27</v>
      </c>
      <c r="G3114" s="531">
        <f>SUBTOTAL(9,G3105:G3113)</f>
        <v>0</v>
      </c>
    </row>
    <row r="3115" spans="1:7" ht="19.899999999999999" customHeight="1" x14ac:dyDescent="0.2">
      <c r="A3115" s="527"/>
      <c r="B3115" s="175"/>
      <c r="C3115" s="469" t="s">
        <v>713</v>
      </c>
      <c r="D3115" s="473"/>
      <c r="E3115" s="474"/>
      <c r="F3115" s="475"/>
      <c r="G3115" s="528"/>
    </row>
    <row r="3116" spans="1:7" ht="19.899999999999999" customHeight="1" x14ac:dyDescent="0.2">
      <c r="A3116" s="706" t="s">
        <v>576</v>
      </c>
      <c r="B3116" s="707"/>
      <c r="C3116" s="708" t="s">
        <v>0</v>
      </c>
      <c r="D3116" s="710" t="s">
        <v>24</v>
      </c>
      <c r="E3116" s="710" t="s">
        <v>1832</v>
      </c>
      <c r="F3116" s="712" t="s">
        <v>1007</v>
      </c>
      <c r="G3116" s="714" t="s">
        <v>26</v>
      </c>
    </row>
    <row r="3117" spans="1:7" ht="19.899999999999999" customHeight="1" x14ac:dyDescent="0.2">
      <c r="A3117" s="491" t="s">
        <v>577</v>
      </c>
      <c r="B3117" s="491" t="s">
        <v>578</v>
      </c>
      <c r="C3117" s="709"/>
      <c r="D3117" s="711"/>
      <c r="E3117" s="711"/>
      <c r="F3117" s="713"/>
      <c r="G3117" s="715"/>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28</v>
      </c>
      <c r="G3125" s="532">
        <f>SUBTOTAL(9,G3118:G3124)</f>
        <v>0</v>
      </c>
    </row>
    <row r="3126" spans="1:7" ht="19.899999999999999" customHeight="1" x14ac:dyDescent="0.2">
      <c r="A3126" s="527"/>
      <c r="B3126" s="175"/>
      <c r="C3126" s="469" t="s">
        <v>1014</v>
      </c>
      <c r="D3126" s="473"/>
      <c r="E3126" s="474"/>
      <c r="F3126" s="475"/>
      <c r="G3126" s="528"/>
    </row>
    <row r="3127" spans="1:7" ht="19.899999999999999" customHeight="1" x14ac:dyDescent="0.2">
      <c r="A3127" s="706" t="s">
        <v>576</v>
      </c>
      <c r="B3127" s="707"/>
      <c r="C3127" s="708" t="s">
        <v>0</v>
      </c>
      <c r="D3127" s="708" t="s">
        <v>1867</v>
      </c>
      <c r="E3127" s="710" t="s">
        <v>24</v>
      </c>
      <c r="F3127" s="712" t="s">
        <v>25</v>
      </c>
      <c r="G3127" s="714" t="s">
        <v>26</v>
      </c>
    </row>
    <row r="3128" spans="1:7" ht="19.899999999999999" customHeight="1" x14ac:dyDescent="0.2">
      <c r="A3128" s="491" t="s">
        <v>577</v>
      </c>
      <c r="B3128" s="491" t="s">
        <v>578</v>
      </c>
      <c r="C3128" s="709"/>
      <c r="D3128" s="709"/>
      <c r="E3128" s="711"/>
      <c r="F3128" s="713"/>
      <c r="G3128" s="715"/>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29</v>
      </c>
      <c r="G3140" s="532">
        <f>SUBTOTAL(9,G3129:G3139)</f>
        <v>0</v>
      </c>
    </row>
    <row r="3141" spans="1:7" ht="19.899999999999999" customHeight="1" x14ac:dyDescent="0.2">
      <c r="A3141" s="527"/>
      <c r="B3141" s="175"/>
      <c r="C3141" s="469" t="s">
        <v>1015</v>
      </c>
      <c r="D3141" s="473"/>
      <c r="E3141" s="474"/>
      <c r="F3141" s="475"/>
      <c r="G3141" s="528"/>
    </row>
    <row r="3142" spans="1:7" ht="19.899999999999999" customHeight="1" x14ac:dyDescent="0.2">
      <c r="A3142" s="706" t="s">
        <v>576</v>
      </c>
      <c r="B3142" s="707"/>
      <c r="C3142" s="708" t="s">
        <v>0</v>
      </c>
      <c r="D3142" s="708" t="s">
        <v>1867</v>
      </c>
      <c r="E3142" s="710" t="s">
        <v>24</v>
      </c>
      <c r="F3142" s="712" t="s">
        <v>25</v>
      </c>
      <c r="G3142" s="714" t="s">
        <v>26</v>
      </c>
    </row>
    <row r="3143" spans="1:7" ht="19.899999999999999" customHeight="1" x14ac:dyDescent="0.2">
      <c r="A3143" s="491" t="s">
        <v>577</v>
      </c>
      <c r="B3143" s="491" t="s">
        <v>578</v>
      </c>
      <c r="C3143" s="709"/>
      <c r="D3143" s="709"/>
      <c r="E3143" s="711"/>
      <c r="F3143" s="713"/>
      <c r="G3143" s="715"/>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1016</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1833</v>
      </c>
      <c r="E3148" s="586"/>
      <c r="F3148" s="587" t="str">
        <f ca="1">"$/"&amp;G3082</f>
        <v>$/0</v>
      </c>
      <c r="G3148" s="537">
        <f>SUBTOTAL(9,G3105:G3147)</f>
        <v>0</v>
      </c>
    </row>
    <row r="3149" spans="1:7" ht="19.899999999999999" customHeight="1" x14ac:dyDescent="0.2">
      <c r="A3149" s="533"/>
      <c r="B3149" s="534"/>
      <c r="C3149" s="535"/>
      <c r="D3149" s="535" t="s">
        <v>2043</v>
      </c>
      <c r="E3149" s="536"/>
      <c r="F3149" s="589" t="str">
        <f ca="1">"$/"&amp;G3082</f>
        <v>$/0</v>
      </c>
      <c r="G3149" s="537">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16" t="s">
        <v>31</v>
      </c>
      <c r="B3151" s="717"/>
      <c r="C3151" s="717"/>
      <c r="D3151" s="717"/>
      <c r="E3151" s="717"/>
      <c r="F3151" s="717"/>
      <c r="G3151" s="718"/>
    </row>
    <row r="3152" spans="1:7" ht="19.899999999999999" customHeight="1" x14ac:dyDescent="0.2">
      <c r="A3152" s="516" t="s">
        <v>711</v>
      </c>
      <c r="B3152" s="467" t="str">
        <f>Comitente</f>
        <v>DIRECCIÓN PROVINCIAL DE VIALIDAD</v>
      </c>
      <c r="C3152" s="468"/>
      <c r="D3152" s="469"/>
      <c r="E3152" s="469"/>
      <c r="F3152" s="470"/>
      <c r="G3152" s="517"/>
    </row>
    <row r="3153" spans="1:7" ht="19.899999999999999" customHeight="1" x14ac:dyDescent="0.2">
      <c r="A3153" s="516" t="s">
        <v>712</v>
      </c>
      <c r="B3153" s="467">
        <f>Contratista</f>
        <v>0</v>
      </c>
      <c r="C3153" s="471"/>
      <c r="D3153" s="471"/>
      <c r="E3153" s="471"/>
      <c r="F3153" s="467"/>
      <c r="G3153" s="518"/>
    </row>
    <row r="3154" spans="1:7" ht="19.899999999999999" customHeight="1" x14ac:dyDescent="0.2">
      <c r="A3154" s="516" t="s">
        <v>21</v>
      </c>
      <c r="B3154" s="467" t="str">
        <f>Obra</f>
        <v>OBRA BÁSICA Y PAVIMENTACIÓN CALLE GÜEMES</v>
      </c>
      <c r="C3154" s="471"/>
      <c r="D3154" s="471"/>
      <c r="E3154" s="471"/>
      <c r="F3154" s="467" t="s">
        <v>32</v>
      </c>
      <c r="G3154" s="518">
        <f>Fecha_Base</f>
        <v>0</v>
      </c>
    </row>
    <row r="3155" spans="1:7" ht="19.899999999999999" customHeight="1" x14ac:dyDescent="0.2">
      <c r="A3155" s="519" t="s">
        <v>710</v>
      </c>
      <c r="B3155" s="472" t="str">
        <f>Ubicación</f>
        <v>Rawson - Santa Lucia</v>
      </c>
      <c r="C3155" s="472"/>
      <c r="D3155" s="473"/>
      <c r="E3155" s="474"/>
      <c r="F3155" s="475"/>
      <c r="G3155" s="520"/>
    </row>
    <row r="3156" spans="1:7" ht="19.899999999999999" customHeight="1" x14ac:dyDescent="0.2">
      <c r="A3156" s="519" t="s">
        <v>33</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22</v>
      </c>
      <c r="B3157" s="477" t="str">
        <f>IFERROR(VLOOKUP(COUNTIF($A$1:A3157,"ANALISIS DE PRECIOS"),T_NumeroItem,2,FALSE),"")</f>
        <v/>
      </c>
      <c r="C3157" s="719">
        <f ca="1">IFERROR(VLOOKUP(B3157,T_Computo_Presupuesto,2,FALSE),0)</f>
        <v>0</v>
      </c>
      <c r="D3157" s="719"/>
      <c r="E3157" s="719"/>
      <c r="F3157" s="472" t="s">
        <v>23</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999</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1000</v>
      </c>
      <c r="D3161" s="482" t="s">
        <v>24</v>
      </c>
      <c r="E3161" s="482" t="s">
        <v>1001</v>
      </c>
      <c r="F3161" s="482" t="s">
        <v>1002</v>
      </c>
      <c r="G3161" s="481" t="s">
        <v>1003</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1004</v>
      </c>
      <c r="D3173" s="472" t="s">
        <v>1001</v>
      </c>
      <c r="E3173" s="538">
        <f>SUMPRODUCT(D3162:D3171,E3162:E3171)</f>
        <v>0</v>
      </c>
      <c r="F3173" s="472" t="s">
        <v>1005</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1006</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06" t="s">
        <v>576</v>
      </c>
      <c r="B3177" s="707"/>
      <c r="C3177" s="708" t="s">
        <v>0</v>
      </c>
      <c r="D3177" s="720" t="s">
        <v>1866</v>
      </c>
      <c r="E3177" s="720" t="s">
        <v>1865</v>
      </c>
      <c r="F3177" s="712" t="s">
        <v>1007</v>
      </c>
      <c r="G3177" s="714" t="s">
        <v>26</v>
      </c>
    </row>
    <row r="3178" spans="1:7" ht="19.899999999999999" customHeight="1" x14ac:dyDescent="0.2">
      <c r="A3178" s="491" t="s">
        <v>577</v>
      </c>
      <c r="B3178" s="491" t="s">
        <v>578</v>
      </c>
      <c r="C3178" s="709"/>
      <c r="D3178" s="721"/>
      <c r="E3178" s="711"/>
      <c r="F3178" s="713"/>
      <c r="G3178" s="715"/>
    </row>
    <row r="3179" spans="1:7" ht="19.899999999999999" customHeight="1" x14ac:dyDescent="0.2">
      <c r="A3179" s="527"/>
      <c r="B3179" s="175"/>
      <c r="C3179" s="469" t="s">
        <v>1008</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27</v>
      </c>
      <c r="G3189" s="531">
        <f>SUBTOTAL(9,G3180:G3188)</f>
        <v>0</v>
      </c>
    </row>
    <row r="3190" spans="1:7" ht="19.899999999999999" customHeight="1" x14ac:dyDescent="0.2">
      <c r="A3190" s="527"/>
      <c r="B3190" s="175"/>
      <c r="C3190" s="469" t="s">
        <v>713</v>
      </c>
      <c r="D3190" s="473"/>
      <c r="E3190" s="474"/>
      <c r="F3190" s="475"/>
      <c r="G3190" s="528"/>
    </row>
    <row r="3191" spans="1:7" ht="19.899999999999999" customHeight="1" x14ac:dyDescent="0.2">
      <c r="A3191" s="706" t="s">
        <v>576</v>
      </c>
      <c r="B3191" s="707"/>
      <c r="C3191" s="708" t="s">
        <v>0</v>
      </c>
      <c r="D3191" s="710" t="s">
        <v>24</v>
      </c>
      <c r="E3191" s="710" t="s">
        <v>1832</v>
      </c>
      <c r="F3191" s="712" t="s">
        <v>1007</v>
      </c>
      <c r="G3191" s="714" t="s">
        <v>26</v>
      </c>
    </row>
    <row r="3192" spans="1:7" ht="19.899999999999999" customHeight="1" x14ac:dyDescent="0.2">
      <c r="A3192" s="491" t="s">
        <v>577</v>
      </c>
      <c r="B3192" s="491" t="s">
        <v>578</v>
      </c>
      <c r="C3192" s="709"/>
      <c r="D3192" s="711"/>
      <c r="E3192" s="711"/>
      <c r="F3192" s="713"/>
      <c r="G3192" s="715"/>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28</v>
      </c>
      <c r="G3200" s="532">
        <f>SUBTOTAL(9,G3193:G3199)</f>
        <v>0</v>
      </c>
    </row>
    <row r="3201" spans="1:7" ht="19.899999999999999" customHeight="1" x14ac:dyDescent="0.2">
      <c r="A3201" s="527"/>
      <c r="B3201" s="175"/>
      <c r="C3201" s="469" t="s">
        <v>1014</v>
      </c>
      <c r="D3201" s="473"/>
      <c r="E3201" s="474"/>
      <c r="F3201" s="475"/>
      <c r="G3201" s="528"/>
    </row>
    <row r="3202" spans="1:7" ht="19.899999999999999" customHeight="1" x14ac:dyDescent="0.2">
      <c r="A3202" s="706" t="s">
        <v>576</v>
      </c>
      <c r="B3202" s="707"/>
      <c r="C3202" s="708" t="s">
        <v>0</v>
      </c>
      <c r="D3202" s="708" t="s">
        <v>1867</v>
      </c>
      <c r="E3202" s="710" t="s">
        <v>24</v>
      </c>
      <c r="F3202" s="712" t="s">
        <v>25</v>
      </c>
      <c r="G3202" s="714" t="s">
        <v>26</v>
      </c>
    </row>
    <row r="3203" spans="1:7" ht="19.899999999999999" customHeight="1" x14ac:dyDescent="0.2">
      <c r="A3203" s="491" t="s">
        <v>577</v>
      </c>
      <c r="B3203" s="491" t="s">
        <v>578</v>
      </c>
      <c r="C3203" s="709"/>
      <c r="D3203" s="709"/>
      <c r="E3203" s="711"/>
      <c r="F3203" s="713"/>
      <c r="G3203" s="715"/>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29</v>
      </c>
      <c r="G3215" s="532">
        <f>SUBTOTAL(9,G3204:G3214)</f>
        <v>0</v>
      </c>
    </row>
    <row r="3216" spans="1:7" ht="19.899999999999999" customHeight="1" x14ac:dyDescent="0.2">
      <c r="A3216" s="527"/>
      <c r="B3216" s="175"/>
      <c r="C3216" s="469" t="s">
        <v>1015</v>
      </c>
      <c r="D3216" s="473"/>
      <c r="E3216" s="474"/>
      <c r="F3216" s="475"/>
      <c r="G3216" s="528"/>
    </row>
    <row r="3217" spans="1:7" ht="19.899999999999999" customHeight="1" x14ac:dyDescent="0.2">
      <c r="A3217" s="706" t="s">
        <v>576</v>
      </c>
      <c r="B3217" s="707"/>
      <c r="C3217" s="708" t="s">
        <v>0</v>
      </c>
      <c r="D3217" s="708" t="s">
        <v>1867</v>
      </c>
      <c r="E3217" s="710" t="s">
        <v>24</v>
      </c>
      <c r="F3217" s="712" t="s">
        <v>25</v>
      </c>
      <c r="G3217" s="714" t="s">
        <v>26</v>
      </c>
    </row>
    <row r="3218" spans="1:7" ht="19.899999999999999" customHeight="1" x14ac:dyDescent="0.2">
      <c r="A3218" s="491" t="s">
        <v>577</v>
      </c>
      <c r="B3218" s="491" t="s">
        <v>578</v>
      </c>
      <c r="C3218" s="709"/>
      <c r="D3218" s="709"/>
      <c r="E3218" s="711"/>
      <c r="F3218" s="713"/>
      <c r="G3218" s="715"/>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1016</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1833</v>
      </c>
      <c r="E3223" s="586"/>
      <c r="F3223" s="587" t="str">
        <f ca="1">"$/"&amp;G3157</f>
        <v>$/0</v>
      </c>
      <c r="G3223" s="537">
        <f>SUBTOTAL(9,G3180:G3222)</f>
        <v>0</v>
      </c>
    </row>
    <row r="3224" spans="1:7" ht="19.899999999999999" customHeight="1" x14ac:dyDescent="0.2">
      <c r="A3224" s="533"/>
      <c r="B3224" s="534"/>
      <c r="C3224" s="535"/>
      <c r="D3224" s="535" t="s">
        <v>2043</v>
      </c>
      <c r="E3224" s="536"/>
      <c r="F3224" s="589" t="str">
        <f ca="1">"$/"&amp;G3157</f>
        <v>$/0</v>
      </c>
      <c r="G3224" s="537">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16" t="s">
        <v>31</v>
      </c>
      <c r="B3226" s="717"/>
      <c r="C3226" s="717"/>
      <c r="D3226" s="717"/>
      <c r="E3226" s="717"/>
      <c r="F3226" s="717"/>
      <c r="G3226" s="718"/>
    </row>
    <row r="3227" spans="1:7" ht="19.899999999999999" customHeight="1" x14ac:dyDescent="0.2">
      <c r="A3227" s="516" t="s">
        <v>711</v>
      </c>
      <c r="B3227" s="467" t="str">
        <f>Comitente</f>
        <v>DIRECCIÓN PROVINCIAL DE VIALIDAD</v>
      </c>
      <c r="C3227" s="468"/>
      <c r="D3227" s="469"/>
      <c r="E3227" s="469"/>
      <c r="F3227" s="470"/>
      <c r="G3227" s="517"/>
    </row>
    <row r="3228" spans="1:7" ht="19.899999999999999" customHeight="1" x14ac:dyDescent="0.2">
      <c r="A3228" s="516" t="s">
        <v>712</v>
      </c>
      <c r="B3228" s="467">
        <f>Contratista</f>
        <v>0</v>
      </c>
      <c r="C3228" s="471"/>
      <c r="D3228" s="471"/>
      <c r="E3228" s="471"/>
      <c r="F3228" s="467"/>
      <c r="G3228" s="518"/>
    </row>
    <row r="3229" spans="1:7" ht="19.899999999999999" customHeight="1" x14ac:dyDescent="0.2">
      <c r="A3229" s="516" t="s">
        <v>21</v>
      </c>
      <c r="B3229" s="467" t="str">
        <f>Obra</f>
        <v>OBRA BÁSICA Y PAVIMENTACIÓN CALLE GÜEMES</v>
      </c>
      <c r="C3229" s="471"/>
      <c r="D3229" s="471"/>
      <c r="E3229" s="471"/>
      <c r="F3229" s="467" t="s">
        <v>32</v>
      </c>
      <c r="G3229" s="518">
        <f>Fecha_Base</f>
        <v>0</v>
      </c>
    </row>
    <row r="3230" spans="1:7" ht="19.899999999999999" customHeight="1" x14ac:dyDescent="0.2">
      <c r="A3230" s="519" t="s">
        <v>710</v>
      </c>
      <c r="B3230" s="472" t="str">
        <f>Ubicación</f>
        <v>Rawson - Santa Lucia</v>
      </c>
      <c r="C3230" s="472"/>
      <c r="D3230" s="473"/>
      <c r="E3230" s="474"/>
      <c r="F3230" s="475"/>
      <c r="G3230" s="520"/>
    </row>
    <row r="3231" spans="1:7" ht="19.899999999999999" customHeight="1" x14ac:dyDescent="0.2">
      <c r="A3231" s="519" t="s">
        <v>33</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22</v>
      </c>
      <c r="B3232" s="477" t="str">
        <f>IFERROR(VLOOKUP(COUNTIF($A$1:A3232,"ANALISIS DE PRECIOS"),T_NumeroItem,2,FALSE),"")</f>
        <v/>
      </c>
      <c r="C3232" s="719">
        <f ca="1">IFERROR(VLOOKUP(B3232,T_Computo_Presupuesto,2,FALSE),0)</f>
        <v>0</v>
      </c>
      <c r="D3232" s="719"/>
      <c r="E3232" s="719"/>
      <c r="F3232" s="472" t="s">
        <v>23</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999</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1000</v>
      </c>
      <c r="D3236" s="482" t="s">
        <v>24</v>
      </c>
      <c r="E3236" s="482" t="s">
        <v>1001</v>
      </c>
      <c r="F3236" s="482" t="s">
        <v>1002</v>
      </c>
      <c r="G3236" s="481" t="s">
        <v>1003</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1004</v>
      </c>
      <c r="D3248" s="472" t="s">
        <v>1001</v>
      </c>
      <c r="E3248" s="538">
        <f>SUMPRODUCT(D3237:D3246,E3237:E3246)</f>
        <v>0</v>
      </c>
      <c r="F3248" s="472" t="s">
        <v>1005</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1006</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06" t="s">
        <v>576</v>
      </c>
      <c r="B3252" s="707"/>
      <c r="C3252" s="708" t="s">
        <v>0</v>
      </c>
      <c r="D3252" s="720" t="s">
        <v>1866</v>
      </c>
      <c r="E3252" s="720" t="s">
        <v>1865</v>
      </c>
      <c r="F3252" s="712" t="s">
        <v>1007</v>
      </c>
      <c r="G3252" s="714" t="s">
        <v>26</v>
      </c>
    </row>
    <row r="3253" spans="1:7" ht="19.899999999999999" customHeight="1" x14ac:dyDescent="0.2">
      <c r="A3253" s="491" t="s">
        <v>577</v>
      </c>
      <c r="B3253" s="491" t="s">
        <v>578</v>
      </c>
      <c r="C3253" s="709"/>
      <c r="D3253" s="721"/>
      <c r="E3253" s="711"/>
      <c r="F3253" s="713"/>
      <c r="G3253" s="715"/>
    </row>
    <row r="3254" spans="1:7" ht="19.899999999999999" customHeight="1" x14ac:dyDescent="0.2">
      <c r="A3254" s="527"/>
      <c r="B3254" s="175"/>
      <c r="C3254" s="469" t="s">
        <v>1008</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27</v>
      </c>
      <c r="G3264" s="531">
        <f>SUBTOTAL(9,G3255:G3263)</f>
        <v>0</v>
      </c>
    </row>
    <row r="3265" spans="1:7" ht="19.899999999999999" customHeight="1" x14ac:dyDescent="0.2">
      <c r="A3265" s="527"/>
      <c r="B3265" s="175"/>
      <c r="C3265" s="469" t="s">
        <v>713</v>
      </c>
      <c r="D3265" s="473"/>
      <c r="E3265" s="474"/>
      <c r="F3265" s="475"/>
      <c r="G3265" s="528"/>
    </row>
    <row r="3266" spans="1:7" ht="19.899999999999999" customHeight="1" x14ac:dyDescent="0.2">
      <c r="A3266" s="706" t="s">
        <v>576</v>
      </c>
      <c r="B3266" s="707"/>
      <c r="C3266" s="708" t="s">
        <v>0</v>
      </c>
      <c r="D3266" s="710" t="s">
        <v>24</v>
      </c>
      <c r="E3266" s="710" t="s">
        <v>1832</v>
      </c>
      <c r="F3266" s="712" t="s">
        <v>1007</v>
      </c>
      <c r="G3266" s="714" t="s">
        <v>26</v>
      </c>
    </row>
    <row r="3267" spans="1:7" ht="19.899999999999999" customHeight="1" x14ac:dyDescent="0.2">
      <c r="A3267" s="491" t="s">
        <v>577</v>
      </c>
      <c r="B3267" s="491" t="s">
        <v>578</v>
      </c>
      <c r="C3267" s="709"/>
      <c r="D3267" s="711"/>
      <c r="E3267" s="711"/>
      <c r="F3267" s="713"/>
      <c r="G3267" s="715"/>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28</v>
      </c>
      <c r="G3275" s="532">
        <f>SUBTOTAL(9,G3268:G3274)</f>
        <v>0</v>
      </c>
    </row>
    <row r="3276" spans="1:7" ht="19.899999999999999" customHeight="1" x14ac:dyDescent="0.2">
      <c r="A3276" s="527"/>
      <c r="B3276" s="175"/>
      <c r="C3276" s="469" t="s">
        <v>1014</v>
      </c>
      <c r="D3276" s="473"/>
      <c r="E3276" s="474"/>
      <c r="F3276" s="475"/>
      <c r="G3276" s="528"/>
    </row>
    <row r="3277" spans="1:7" ht="19.899999999999999" customHeight="1" x14ac:dyDescent="0.2">
      <c r="A3277" s="706" t="s">
        <v>576</v>
      </c>
      <c r="B3277" s="707"/>
      <c r="C3277" s="708" t="s">
        <v>0</v>
      </c>
      <c r="D3277" s="708" t="s">
        <v>1867</v>
      </c>
      <c r="E3277" s="710" t="s">
        <v>24</v>
      </c>
      <c r="F3277" s="712" t="s">
        <v>25</v>
      </c>
      <c r="G3277" s="714" t="s">
        <v>26</v>
      </c>
    </row>
    <row r="3278" spans="1:7" ht="19.899999999999999" customHeight="1" x14ac:dyDescent="0.2">
      <c r="A3278" s="491" t="s">
        <v>577</v>
      </c>
      <c r="B3278" s="491" t="s">
        <v>578</v>
      </c>
      <c r="C3278" s="709"/>
      <c r="D3278" s="709"/>
      <c r="E3278" s="711"/>
      <c r="F3278" s="713"/>
      <c r="G3278" s="715"/>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29</v>
      </c>
      <c r="G3290" s="532">
        <f>SUBTOTAL(9,G3279:G3289)</f>
        <v>0</v>
      </c>
    </row>
    <row r="3291" spans="1:7" ht="19.899999999999999" customHeight="1" x14ac:dyDescent="0.2">
      <c r="A3291" s="527"/>
      <c r="B3291" s="175"/>
      <c r="C3291" s="469" t="s">
        <v>1015</v>
      </c>
      <c r="D3291" s="473"/>
      <c r="E3291" s="474"/>
      <c r="F3291" s="475"/>
      <c r="G3291" s="528"/>
    </row>
    <row r="3292" spans="1:7" ht="19.899999999999999" customHeight="1" x14ac:dyDescent="0.2">
      <c r="A3292" s="706" t="s">
        <v>576</v>
      </c>
      <c r="B3292" s="707"/>
      <c r="C3292" s="708" t="s">
        <v>0</v>
      </c>
      <c r="D3292" s="708" t="s">
        <v>1867</v>
      </c>
      <c r="E3292" s="710" t="s">
        <v>24</v>
      </c>
      <c r="F3292" s="712" t="s">
        <v>25</v>
      </c>
      <c r="G3292" s="714" t="s">
        <v>26</v>
      </c>
    </row>
    <row r="3293" spans="1:7" ht="19.899999999999999" customHeight="1" x14ac:dyDescent="0.2">
      <c r="A3293" s="491" t="s">
        <v>577</v>
      </c>
      <c r="B3293" s="491" t="s">
        <v>578</v>
      </c>
      <c r="C3293" s="709"/>
      <c r="D3293" s="709"/>
      <c r="E3293" s="711"/>
      <c r="F3293" s="713"/>
      <c r="G3293" s="715"/>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1016</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1833</v>
      </c>
      <c r="E3298" s="586"/>
      <c r="F3298" s="587" t="str">
        <f ca="1">"$/"&amp;G3232</f>
        <v>$/0</v>
      </c>
      <c r="G3298" s="537">
        <f>SUBTOTAL(9,G3255:G3297)</f>
        <v>0</v>
      </c>
    </row>
    <row r="3299" spans="1:7" ht="19.899999999999999" customHeight="1" x14ac:dyDescent="0.2">
      <c r="A3299" s="533"/>
      <c r="B3299" s="534"/>
      <c r="C3299" s="535"/>
      <c r="D3299" s="535" t="s">
        <v>2043</v>
      </c>
      <c r="E3299" s="536"/>
      <c r="F3299" s="589" t="str">
        <f ca="1">"$/"&amp;G3232</f>
        <v>$/0</v>
      </c>
      <c r="G3299" s="537">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16" t="s">
        <v>31</v>
      </c>
      <c r="B3301" s="717"/>
      <c r="C3301" s="717"/>
      <c r="D3301" s="717"/>
      <c r="E3301" s="717"/>
      <c r="F3301" s="717"/>
      <c r="G3301" s="718"/>
    </row>
    <row r="3302" spans="1:7" ht="19.899999999999999" customHeight="1" x14ac:dyDescent="0.2">
      <c r="A3302" s="516" t="s">
        <v>711</v>
      </c>
      <c r="B3302" s="467" t="str">
        <f>Comitente</f>
        <v>DIRECCIÓN PROVINCIAL DE VIALIDAD</v>
      </c>
      <c r="C3302" s="468"/>
      <c r="D3302" s="469"/>
      <c r="E3302" s="469"/>
      <c r="F3302" s="470"/>
      <c r="G3302" s="517"/>
    </row>
    <row r="3303" spans="1:7" ht="19.899999999999999" customHeight="1" x14ac:dyDescent="0.2">
      <c r="A3303" s="516" t="s">
        <v>712</v>
      </c>
      <c r="B3303" s="467">
        <f>Contratista</f>
        <v>0</v>
      </c>
      <c r="C3303" s="471"/>
      <c r="D3303" s="471"/>
      <c r="E3303" s="471"/>
      <c r="F3303" s="467"/>
      <c r="G3303" s="518"/>
    </row>
    <row r="3304" spans="1:7" ht="19.899999999999999" customHeight="1" x14ac:dyDescent="0.2">
      <c r="A3304" s="516" t="s">
        <v>21</v>
      </c>
      <c r="B3304" s="467" t="str">
        <f>Obra</f>
        <v>OBRA BÁSICA Y PAVIMENTACIÓN CALLE GÜEMES</v>
      </c>
      <c r="C3304" s="471"/>
      <c r="D3304" s="471"/>
      <c r="E3304" s="471"/>
      <c r="F3304" s="467" t="s">
        <v>32</v>
      </c>
      <c r="G3304" s="518">
        <f>Fecha_Base</f>
        <v>0</v>
      </c>
    </row>
    <row r="3305" spans="1:7" ht="19.899999999999999" customHeight="1" x14ac:dyDescent="0.2">
      <c r="A3305" s="519" t="s">
        <v>710</v>
      </c>
      <c r="B3305" s="472" t="str">
        <f>Ubicación</f>
        <v>Rawson - Santa Lucia</v>
      </c>
      <c r="C3305" s="472"/>
      <c r="D3305" s="473"/>
      <c r="E3305" s="474"/>
      <c r="F3305" s="475"/>
      <c r="G3305" s="520"/>
    </row>
    <row r="3306" spans="1:7" ht="19.899999999999999" customHeight="1" x14ac:dyDescent="0.2">
      <c r="A3306" s="519" t="s">
        <v>33</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22</v>
      </c>
      <c r="B3307" s="477" t="str">
        <f>IFERROR(VLOOKUP(COUNTIF($A$1:A3307,"ANALISIS DE PRECIOS"),T_NumeroItem,2,FALSE),"")</f>
        <v/>
      </c>
      <c r="C3307" s="719">
        <f ca="1">IFERROR(VLOOKUP(B3307,T_Computo_Presupuesto,2,FALSE),0)</f>
        <v>0</v>
      </c>
      <c r="D3307" s="719"/>
      <c r="E3307" s="719"/>
      <c r="F3307" s="472" t="s">
        <v>23</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999</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1000</v>
      </c>
      <c r="D3311" s="482" t="s">
        <v>24</v>
      </c>
      <c r="E3311" s="482" t="s">
        <v>1001</v>
      </c>
      <c r="F3311" s="482" t="s">
        <v>1002</v>
      </c>
      <c r="G3311" s="481" t="s">
        <v>1003</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1004</v>
      </c>
      <c r="D3323" s="472" t="s">
        <v>1001</v>
      </c>
      <c r="E3323" s="538">
        <f>SUMPRODUCT(D3312:D3321,E3312:E3321)</f>
        <v>0</v>
      </c>
      <c r="F3323" s="472" t="s">
        <v>1005</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1006</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06" t="s">
        <v>576</v>
      </c>
      <c r="B3327" s="707"/>
      <c r="C3327" s="708" t="s">
        <v>0</v>
      </c>
      <c r="D3327" s="720" t="s">
        <v>1866</v>
      </c>
      <c r="E3327" s="720" t="s">
        <v>1865</v>
      </c>
      <c r="F3327" s="712" t="s">
        <v>1007</v>
      </c>
      <c r="G3327" s="714" t="s">
        <v>26</v>
      </c>
    </row>
    <row r="3328" spans="1:7" ht="19.899999999999999" customHeight="1" x14ac:dyDescent="0.2">
      <c r="A3328" s="491" t="s">
        <v>577</v>
      </c>
      <c r="B3328" s="491" t="s">
        <v>578</v>
      </c>
      <c r="C3328" s="709"/>
      <c r="D3328" s="721"/>
      <c r="E3328" s="711"/>
      <c r="F3328" s="713"/>
      <c r="G3328" s="715"/>
    </row>
    <row r="3329" spans="1:7" ht="19.899999999999999" customHeight="1" x14ac:dyDescent="0.2">
      <c r="A3329" s="527"/>
      <c r="B3329" s="175"/>
      <c r="C3329" s="469" t="s">
        <v>1008</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27</v>
      </c>
      <c r="G3339" s="531">
        <f>SUBTOTAL(9,G3330:G3338)</f>
        <v>0</v>
      </c>
    </row>
    <row r="3340" spans="1:7" ht="19.899999999999999" customHeight="1" x14ac:dyDescent="0.2">
      <c r="A3340" s="527"/>
      <c r="B3340" s="175"/>
      <c r="C3340" s="469" t="s">
        <v>713</v>
      </c>
      <c r="D3340" s="473"/>
      <c r="E3340" s="474"/>
      <c r="F3340" s="475"/>
      <c r="G3340" s="528"/>
    </row>
    <row r="3341" spans="1:7" ht="19.899999999999999" customHeight="1" x14ac:dyDescent="0.2">
      <c r="A3341" s="706" t="s">
        <v>576</v>
      </c>
      <c r="B3341" s="707"/>
      <c r="C3341" s="708" t="s">
        <v>0</v>
      </c>
      <c r="D3341" s="710" t="s">
        <v>24</v>
      </c>
      <c r="E3341" s="710" t="s">
        <v>1832</v>
      </c>
      <c r="F3341" s="712" t="s">
        <v>1007</v>
      </c>
      <c r="G3341" s="714" t="s">
        <v>26</v>
      </c>
    </row>
    <row r="3342" spans="1:7" ht="19.899999999999999" customHeight="1" x14ac:dyDescent="0.2">
      <c r="A3342" s="491" t="s">
        <v>577</v>
      </c>
      <c r="B3342" s="491" t="s">
        <v>578</v>
      </c>
      <c r="C3342" s="709"/>
      <c r="D3342" s="711"/>
      <c r="E3342" s="711"/>
      <c r="F3342" s="713"/>
      <c r="G3342" s="715"/>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28</v>
      </c>
      <c r="G3350" s="532">
        <f>SUBTOTAL(9,G3343:G3349)</f>
        <v>0</v>
      </c>
    </row>
    <row r="3351" spans="1:7" ht="19.899999999999999" customHeight="1" x14ac:dyDescent="0.2">
      <c r="A3351" s="527"/>
      <c r="B3351" s="175"/>
      <c r="C3351" s="469" t="s">
        <v>1014</v>
      </c>
      <c r="D3351" s="473"/>
      <c r="E3351" s="474"/>
      <c r="F3351" s="475"/>
      <c r="G3351" s="528"/>
    </row>
    <row r="3352" spans="1:7" ht="19.899999999999999" customHeight="1" x14ac:dyDescent="0.2">
      <c r="A3352" s="706" t="s">
        <v>576</v>
      </c>
      <c r="B3352" s="707"/>
      <c r="C3352" s="708" t="s">
        <v>0</v>
      </c>
      <c r="D3352" s="708" t="s">
        <v>1867</v>
      </c>
      <c r="E3352" s="710" t="s">
        <v>24</v>
      </c>
      <c r="F3352" s="712" t="s">
        <v>25</v>
      </c>
      <c r="G3352" s="714" t="s">
        <v>26</v>
      </c>
    </row>
    <row r="3353" spans="1:7" ht="19.899999999999999" customHeight="1" x14ac:dyDescent="0.2">
      <c r="A3353" s="491" t="s">
        <v>577</v>
      </c>
      <c r="B3353" s="491" t="s">
        <v>578</v>
      </c>
      <c r="C3353" s="709"/>
      <c r="D3353" s="709"/>
      <c r="E3353" s="711"/>
      <c r="F3353" s="713"/>
      <c r="G3353" s="715"/>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29</v>
      </c>
      <c r="G3365" s="532">
        <f>SUBTOTAL(9,G3354:G3364)</f>
        <v>0</v>
      </c>
    </row>
    <row r="3366" spans="1:7" ht="19.899999999999999" customHeight="1" x14ac:dyDescent="0.2">
      <c r="A3366" s="527"/>
      <c r="B3366" s="175"/>
      <c r="C3366" s="469" t="s">
        <v>1015</v>
      </c>
      <c r="D3366" s="473"/>
      <c r="E3366" s="474"/>
      <c r="F3366" s="475"/>
      <c r="G3366" s="528"/>
    </row>
    <row r="3367" spans="1:7" ht="19.899999999999999" customHeight="1" x14ac:dyDescent="0.2">
      <c r="A3367" s="706" t="s">
        <v>576</v>
      </c>
      <c r="B3367" s="707"/>
      <c r="C3367" s="708" t="s">
        <v>0</v>
      </c>
      <c r="D3367" s="708" t="s">
        <v>1867</v>
      </c>
      <c r="E3367" s="710" t="s">
        <v>24</v>
      </c>
      <c r="F3367" s="712" t="s">
        <v>25</v>
      </c>
      <c r="G3367" s="714" t="s">
        <v>26</v>
      </c>
    </row>
    <row r="3368" spans="1:7" ht="19.899999999999999" customHeight="1" x14ac:dyDescent="0.2">
      <c r="A3368" s="491" t="s">
        <v>577</v>
      </c>
      <c r="B3368" s="491" t="s">
        <v>578</v>
      </c>
      <c r="C3368" s="709"/>
      <c r="D3368" s="709"/>
      <c r="E3368" s="711"/>
      <c r="F3368" s="713"/>
      <c r="G3368" s="715"/>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1016</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1833</v>
      </c>
      <c r="E3373" s="586"/>
      <c r="F3373" s="587" t="str">
        <f ca="1">"$/"&amp;G3307</f>
        <v>$/0</v>
      </c>
      <c r="G3373" s="537">
        <f>SUBTOTAL(9,G3330:G3372)</f>
        <v>0</v>
      </c>
    </row>
    <row r="3374" spans="1:7" ht="19.899999999999999" customHeight="1" x14ac:dyDescent="0.2">
      <c r="A3374" s="533"/>
      <c r="B3374" s="534"/>
      <c r="C3374" s="535"/>
      <c r="D3374" s="535" t="s">
        <v>2043</v>
      </c>
      <c r="E3374" s="536"/>
      <c r="F3374" s="589" t="str">
        <f ca="1">"$/"&amp;G3307</f>
        <v>$/0</v>
      </c>
      <c r="G3374" s="537">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16" t="s">
        <v>31</v>
      </c>
      <c r="B3376" s="717"/>
      <c r="C3376" s="717"/>
      <c r="D3376" s="717"/>
      <c r="E3376" s="717"/>
      <c r="F3376" s="717"/>
      <c r="G3376" s="718"/>
    </row>
    <row r="3377" spans="1:7" ht="19.899999999999999" customHeight="1" x14ac:dyDescent="0.2">
      <c r="A3377" s="516" t="s">
        <v>711</v>
      </c>
      <c r="B3377" s="467" t="str">
        <f>Comitente</f>
        <v>DIRECCIÓN PROVINCIAL DE VIALIDAD</v>
      </c>
      <c r="C3377" s="468"/>
      <c r="D3377" s="469"/>
      <c r="E3377" s="469"/>
      <c r="F3377" s="470"/>
      <c r="G3377" s="517"/>
    </row>
    <row r="3378" spans="1:7" ht="19.899999999999999" customHeight="1" x14ac:dyDescent="0.2">
      <c r="A3378" s="516" t="s">
        <v>712</v>
      </c>
      <c r="B3378" s="467">
        <f>Contratista</f>
        <v>0</v>
      </c>
      <c r="C3378" s="471"/>
      <c r="D3378" s="471"/>
      <c r="E3378" s="471"/>
      <c r="F3378" s="467"/>
      <c r="G3378" s="518"/>
    </row>
    <row r="3379" spans="1:7" ht="19.899999999999999" customHeight="1" x14ac:dyDescent="0.2">
      <c r="A3379" s="516" t="s">
        <v>21</v>
      </c>
      <c r="B3379" s="467" t="str">
        <f>Obra</f>
        <v>OBRA BÁSICA Y PAVIMENTACIÓN CALLE GÜEMES</v>
      </c>
      <c r="C3379" s="471"/>
      <c r="D3379" s="471"/>
      <c r="E3379" s="471"/>
      <c r="F3379" s="467" t="s">
        <v>32</v>
      </c>
      <c r="G3379" s="518">
        <f>Fecha_Base</f>
        <v>0</v>
      </c>
    </row>
    <row r="3380" spans="1:7" ht="19.899999999999999" customHeight="1" x14ac:dyDescent="0.2">
      <c r="A3380" s="519" t="s">
        <v>710</v>
      </c>
      <c r="B3380" s="472" t="str">
        <f>Ubicación</f>
        <v>Rawson - Santa Lucia</v>
      </c>
      <c r="C3380" s="472"/>
      <c r="D3380" s="473"/>
      <c r="E3380" s="474"/>
      <c r="F3380" s="475"/>
      <c r="G3380" s="520"/>
    </row>
    <row r="3381" spans="1:7" ht="19.899999999999999" customHeight="1" x14ac:dyDescent="0.2">
      <c r="A3381" s="519" t="s">
        <v>33</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22</v>
      </c>
      <c r="B3382" s="477" t="str">
        <f>IFERROR(VLOOKUP(COUNTIF($A$1:A3382,"ANALISIS DE PRECIOS"),T_NumeroItem,2,FALSE),"")</f>
        <v/>
      </c>
      <c r="C3382" s="719">
        <f ca="1">IFERROR(VLOOKUP(B3382,T_Computo_Presupuesto,2,FALSE),0)</f>
        <v>0</v>
      </c>
      <c r="D3382" s="719"/>
      <c r="E3382" s="719"/>
      <c r="F3382" s="472" t="s">
        <v>23</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999</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1000</v>
      </c>
      <c r="D3386" s="482" t="s">
        <v>24</v>
      </c>
      <c r="E3386" s="482" t="s">
        <v>1001</v>
      </c>
      <c r="F3386" s="482" t="s">
        <v>1002</v>
      </c>
      <c r="G3386" s="481" t="s">
        <v>1003</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1004</v>
      </c>
      <c r="D3398" s="472" t="s">
        <v>1001</v>
      </c>
      <c r="E3398" s="538">
        <f>SUMPRODUCT(D3387:D3396,E3387:E3396)</f>
        <v>0</v>
      </c>
      <c r="F3398" s="472" t="s">
        <v>1005</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1006</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06" t="s">
        <v>576</v>
      </c>
      <c r="B3402" s="707"/>
      <c r="C3402" s="708" t="s">
        <v>0</v>
      </c>
      <c r="D3402" s="720" t="s">
        <v>1866</v>
      </c>
      <c r="E3402" s="720" t="s">
        <v>1865</v>
      </c>
      <c r="F3402" s="712" t="s">
        <v>1007</v>
      </c>
      <c r="G3402" s="714" t="s">
        <v>26</v>
      </c>
    </row>
    <row r="3403" spans="1:7" ht="19.899999999999999" customHeight="1" x14ac:dyDescent="0.2">
      <c r="A3403" s="491" t="s">
        <v>577</v>
      </c>
      <c r="B3403" s="491" t="s">
        <v>578</v>
      </c>
      <c r="C3403" s="709"/>
      <c r="D3403" s="721"/>
      <c r="E3403" s="711"/>
      <c r="F3403" s="713"/>
      <c r="G3403" s="715"/>
    </row>
    <row r="3404" spans="1:7" ht="19.899999999999999" customHeight="1" x14ac:dyDescent="0.2">
      <c r="A3404" s="527"/>
      <c r="B3404" s="175"/>
      <c r="C3404" s="469" t="s">
        <v>1008</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27</v>
      </c>
      <c r="G3414" s="531">
        <f>SUBTOTAL(9,G3405:G3413)</f>
        <v>0</v>
      </c>
    </row>
    <row r="3415" spans="1:7" ht="19.899999999999999" customHeight="1" x14ac:dyDescent="0.2">
      <c r="A3415" s="527"/>
      <c r="B3415" s="175"/>
      <c r="C3415" s="469" t="s">
        <v>713</v>
      </c>
      <c r="D3415" s="473"/>
      <c r="E3415" s="474"/>
      <c r="F3415" s="475"/>
      <c r="G3415" s="528"/>
    </row>
    <row r="3416" spans="1:7" ht="19.899999999999999" customHeight="1" x14ac:dyDescent="0.2">
      <c r="A3416" s="706" t="s">
        <v>576</v>
      </c>
      <c r="B3416" s="707"/>
      <c r="C3416" s="708" t="s">
        <v>0</v>
      </c>
      <c r="D3416" s="710" t="s">
        <v>24</v>
      </c>
      <c r="E3416" s="710" t="s">
        <v>1832</v>
      </c>
      <c r="F3416" s="712" t="s">
        <v>1007</v>
      </c>
      <c r="G3416" s="714" t="s">
        <v>26</v>
      </c>
    </row>
    <row r="3417" spans="1:7" ht="19.899999999999999" customHeight="1" x14ac:dyDescent="0.2">
      <c r="A3417" s="491" t="s">
        <v>577</v>
      </c>
      <c r="B3417" s="491" t="s">
        <v>578</v>
      </c>
      <c r="C3417" s="709"/>
      <c r="D3417" s="711"/>
      <c r="E3417" s="711"/>
      <c r="F3417" s="713"/>
      <c r="G3417" s="715"/>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28</v>
      </c>
      <c r="G3425" s="532">
        <f>SUBTOTAL(9,G3418:G3424)</f>
        <v>0</v>
      </c>
    </row>
    <row r="3426" spans="1:7" ht="19.899999999999999" customHeight="1" x14ac:dyDescent="0.2">
      <c r="A3426" s="527"/>
      <c r="B3426" s="175"/>
      <c r="C3426" s="469" t="s">
        <v>1014</v>
      </c>
      <c r="D3426" s="473"/>
      <c r="E3426" s="474"/>
      <c r="F3426" s="475"/>
      <c r="G3426" s="528"/>
    </row>
    <row r="3427" spans="1:7" ht="19.899999999999999" customHeight="1" x14ac:dyDescent="0.2">
      <c r="A3427" s="706" t="s">
        <v>576</v>
      </c>
      <c r="B3427" s="707"/>
      <c r="C3427" s="708" t="s">
        <v>0</v>
      </c>
      <c r="D3427" s="708" t="s">
        <v>1867</v>
      </c>
      <c r="E3427" s="710" t="s">
        <v>24</v>
      </c>
      <c r="F3427" s="712" t="s">
        <v>25</v>
      </c>
      <c r="G3427" s="714" t="s">
        <v>26</v>
      </c>
    </row>
    <row r="3428" spans="1:7" ht="19.899999999999999" customHeight="1" x14ac:dyDescent="0.2">
      <c r="A3428" s="491" t="s">
        <v>577</v>
      </c>
      <c r="B3428" s="491" t="s">
        <v>578</v>
      </c>
      <c r="C3428" s="709"/>
      <c r="D3428" s="709"/>
      <c r="E3428" s="711"/>
      <c r="F3428" s="713"/>
      <c r="G3428" s="715"/>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29</v>
      </c>
      <c r="G3440" s="532">
        <f>SUBTOTAL(9,G3429:G3439)</f>
        <v>0</v>
      </c>
    </row>
    <row r="3441" spans="1:7" ht="19.899999999999999" customHeight="1" x14ac:dyDescent="0.2">
      <c r="A3441" s="527"/>
      <c r="B3441" s="175"/>
      <c r="C3441" s="469" t="s">
        <v>1015</v>
      </c>
      <c r="D3441" s="473"/>
      <c r="E3441" s="474"/>
      <c r="F3441" s="475"/>
      <c r="G3441" s="528"/>
    </row>
    <row r="3442" spans="1:7" ht="19.899999999999999" customHeight="1" x14ac:dyDescent="0.2">
      <c r="A3442" s="706" t="s">
        <v>576</v>
      </c>
      <c r="B3442" s="707"/>
      <c r="C3442" s="708" t="s">
        <v>0</v>
      </c>
      <c r="D3442" s="708" t="s">
        <v>1867</v>
      </c>
      <c r="E3442" s="710" t="s">
        <v>24</v>
      </c>
      <c r="F3442" s="712" t="s">
        <v>25</v>
      </c>
      <c r="G3442" s="714" t="s">
        <v>26</v>
      </c>
    </row>
    <row r="3443" spans="1:7" ht="19.899999999999999" customHeight="1" x14ac:dyDescent="0.2">
      <c r="A3443" s="491" t="s">
        <v>577</v>
      </c>
      <c r="B3443" s="491" t="s">
        <v>578</v>
      </c>
      <c r="C3443" s="709"/>
      <c r="D3443" s="709"/>
      <c r="E3443" s="711"/>
      <c r="F3443" s="713"/>
      <c r="G3443" s="715"/>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1016</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1833</v>
      </c>
      <c r="E3448" s="586"/>
      <c r="F3448" s="587" t="str">
        <f ca="1">"$/"&amp;G3382</f>
        <v>$/0</v>
      </c>
      <c r="G3448" s="537">
        <f>SUBTOTAL(9,G3405:G3447)</f>
        <v>0</v>
      </c>
    </row>
    <row r="3449" spans="1:7" ht="19.899999999999999" customHeight="1" x14ac:dyDescent="0.2">
      <c r="A3449" s="533"/>
      <c r="B3449" s="534"/>
      <c r="C3449" s="535"/>
      <c r="D3449" s="535" t="s">
        <v>2043</v>
      </c>
      <c r="E3449" s="536"/>
      <c r="F3449" s="589" t="str">
        <f ca="1">"$/"&amp;G3382</f>
        <v>$/0</v>
      </c>
      <c r="G3449" s="537">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16" t="s">
        <v>31</v>
      </c>
      <c r="B3451" s="717"/>
      <c r="C3451" s="717"/>
      <c r="D3451" s="717"/>
      <c r="E3451" s="717"/>
      <c r="F3451" s="717"/>
      <c r="G3451" s="718"/>
    </row>
    <row r="3452" spans="1:7" ht="19.899999999999999" customHeight="1" x14ac:dyDescent="0.2">
      <c r="A3452" s="516" t="s">
        <v>711</v>
      </c>
      <c r="B3452" s="467" t="str">
        <f>Comitente</f>
        <v>DIRECCIÓN PROVINCIAL DE VIALIDAD</v>
      </c>
      <c r="C3452" s="468"/>
      <c r="D3452" s="469"/>
      <c r="E3452" s="469"/>
      <c r="F3452" s="470"/>
      <c r="G3452" s="517"/>
    </row>
    <row r="3453" spans="1:7" ht="19.899999999999999" customHeight="1" x14ac:dyDescent="0.2">
      <c r="A3453" s="516" t="s">
        <v>712</v>
      </c>
      <c r="B3453" s="467">
        <f>Contratista</f>
        <v>0</v>
      </c>
      <c r="C3453" s="471"/>
      <c r="D3453" s="471"/>
      <c r="E3453" s="471"/>
      <c r="F3453" s="467"/>
      <c r="G3453" s="518"/>
    </row>
    <row r="3454" spans="1:7" ht="19.899999999999999" customHeight="1" x14ac:dyDescent="0.2">
      <c r="A3454" s="516" t="s">
        <v>21</v>
      </c>
      <c r="B3454" s="467" t="str">
        <f>Obra</f>
        <v>OBRA BÁSICA Y PAVIMENTACIÓN CALLE GÜEMES</v>
      </c>
      <c r="C3454" s="471"/>
      <c r="D3454" s="471"/>
      <c r="E3454" s="471"/>
      <c r="F3454" s="467" t="s">
        <v>32</v>
      </c>
      <c r="G3454" s="518">
        <f>Fecha_Base</f>
        <v>0</v>
      </c>
    </row>
    <row r="3455" spans="1:7" ht="19.899999999999999" customHeight="1" x14ac:dyDescent="0.2">
      <c r="A3455" s="519" t="s">
        <v>710</v>
      </c>
      <c r="B3455" s="472" t="str">
        <f>Ubicación</f>
        <v>Rawson - Santa Lucia</v>
      </c>
      <c r="C3455" s="472"/>
      <c r="D3455" s="473"/>
      <c r="E3455" s="474"/>
      <c r="F3455" s="475"/>
      <c r="G3455" s="520"/>
    </row>
    <row r="3456" spans="1:7" ht="19.899999999999999" customHeight="1" x14ac:dyDescent="0.2">
      <c r="A3456" s="519" t="s">
        <v>33</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22</v>
      </c>
      <c r="B3457" s="477" t="str">
        <f>IFERROR(VLOOKUP(COUNTIF($A$1:A3457,"ANALISIS DE PRECIOS"),T_NumeroItem,2,FALSE),"")</f>
        <v/>
      </c>
      <c r="C3457" s="719">
        <f ca="1">IFERROR(VLOOKUP(B3457,T_Computo_Presupuesto,2,FALSE),0)</f>
        <v>0</v>
      </c>
      <c r="D3457" s="719"/>
      <c r="E3457" s="719"/>
      <c r="F3457" s="472" t="s">
        <v>23</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999</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1000</v>
      </c>
      <c r="D3461" s="482" t="s">
        <v>24</v>
      </c>
      <c r="E3461" s="482" t="s">
        <v>1001</v>
      </c>
      <c r="F3461" s="482" t="s">
        <v>1002</v>
      </c>
      <c r="G3461" s="481" t="s">
        <v>1003</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1004</v>
      </c>
      <c r="D3473" s="472" t="s">
        <v>1001</v>
      </c>
      <c r="E3473" s="538">
        <f>SUMPRODUCT(D3462:D3471,E3462:E3471)</f>
        <v>0</v>
      </c>
      <c r="F3473" s="472" t="s">
        <v>1005</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1006</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06" t="s">
        <v>576</v>
      </c>
      <c r="B3477" s="707"/>
      <c r="C3477" s="708" t="s">
        <v>0</v>
      </c>
      <c r="D3477" s="720" t="s">
        <v>1866</v>
      </c>
      <c r="E3477" s="720" t="s">
        <v>1865</v>
      </c>
      <c r="F3477" s="712" t="s">
        <v>1007</v>
      </c>
      <c r="G3477" s="714" t="s">
        <v>26</v>
      </c>
    </row>
    <row r="3478" spans="1:7" ht="19.899999999999999" customHeight="1" x14ac:dyDescent="0.2">
      <c r="A3478" s="491" t="s">
        <v>577</v>
      </c>
      <c r="B3478" s="491" t="s">
        <v>578</v>
      </c>
      <c r="C3478" s="709"/>
      <c r="D3478" s="721"/>
      <c r="E3478" s="711"/>
      <c r="F3478" s="713"/>
      <c r="G3478" s="715"/>
    </row>
    <row r="3479" spans="1:7" ht="19.899999999999999" customHeight="1" x14ac:dyDescent="0.2">
      <c r="A3479" s="527"/>
      <c r="B3479" s="175"/>
      <c r="C3479" s="469" t="s">
        <v>1008</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27</v>
      </c>
      <c r="G3489" s="531">
        <f>SUBTOTAL(9,G3480:G3488)</f>
        <v>0</v>
      </c>
    </row>
    <row r="3490" spans="1:7" ht="19.899999999999999" customHeight="1" x14ac:dyDescent="0.2">
      <c r="A3490" s="527"/>
      <c r="B3490" s="175"/>
      <c r="C3490" s="469" t="s">
        <v>713</v>
      </c>
      <c r="D3490" s="473"/>
      <c r="E3490" s="474"/>
      <c r="F3490" s="475"/>
      <c r="G3490" s="528"/>
    </row>
    <row r="3491" spans="1:7" ht="19.899999999999999" customHeight="1" x14ac:dyDescent="0.2">
      <c r="A3491" s="706" t="s">
        <v>576</v>
      </c>
      <c r="B3491" s="707"/>
      <c r="C3491" s="708" t="s">
        <v>0</v>
      </c>
      <c r="D3491" s="710" t="s">
        <v>24</v>
      </c>
      <c r="E3491" s="710" t="s">
        <v>1832</v>
      </c>
      <c r="F3491" s="712" t="s">
        <v>1007</v>
      </c>
      <c r="G3491" s="714" t="s">
        <v>26</v>
      </c>
    </row>
    <row r="3492" spans="1:7" ht="19.899999999999999" customHeight="1" x14ac:dyDescent="0.2">
      <c r="A3492" s="491" t="s">
        <v>577</v>
      </c>
      <c r="B3492" s="491" t="s">
        <v>578</v>
      </c>
      <c r="C3492" s="709"/>
      <c r="D3492" s="711"/>
      <c r="E3492" s="711"/>
      <c r="F3492" s="713"/>
      <c r="G3492" s="715"/>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28</v>
      </c>
      <c r="G3500" s="532">
        <f>SUBTOTAL(9,G3493:G3499)</f>
        <v>0</v>
      </c>
    </row>
    <row r="3501" spans="1:7" ht="19.899999999999999" customHeight="1" x14ac:dyDescent="0.2">
      <c r="A3501" s="527"/>
      <c r="B3501" s="175"/>
      <c r="C3501" s="469" t="s">
        <v>1014</v>
      </c>
      <c r="D3501" s="473"/>
      <c r="E3501" s="474"/>
      <c r="F3501" s="475"/>
      <c r="G3501" s="528"/>
    </row>
    <row r="3502" spans="1:7" ht="19.899999999999999" customHeight="1" x14ac:dyDescent="0.2">
      <c r="A3502" s="706" t="s">
        <v>576</v>
      </c>
      <c r="B3502" s="707"/>
      <c r="C3502" s="708" t="s">
        <v>0</v>
      </c>
      <c r="D3502" s="708" t="s">
        <v>1867</v>
      </c>
      <c r="E3502" s="710" t="s">
        <v>24</v>
      </c>
      <c r="F3502" s="712" t="s">
        <v>25</v>
      </c>
      <c r="G3502" s="714" t="s">
        <v>26</v>
      </c>
    </row>
    <row r="3503" spans="1:7" ht="19.899999999999999" customHeight="1" x14ac:dyDescent="0.2">
      <c r="A3503" s="491" t="s">
        <v>577</v>
      </c>
      <c r="B3503" s="491" t="s">
        <v>578</v>
      </c>
      <c r="C3503" s="709"/>
      <c r="D3503" s="709"/>
      <c r="E3503" s="711"/>
      <c r="F3503" s="713"/>
      <c r="G3503" s="715"/>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29</v>
      </c>
      <c r="G3515" s="532">
        <f>SUBTOTAL(9,G3504:G3514)</f>
        <v>0</v>
      </c>
    </row>
    <row r="3516" spans="1:7" ht="19.899999999999999" customHeight="1" x14ac:dyDescent="0.2">
      <c r="A3516" s="527"/>
      <c r="B3516" s="175"/>
      <c r="C3516" s="469" t="s">
        <v>1015</v>
      </c>
      <c r="D3516" s="473"/>
      <c r="E3516" s="474"/>
      <c r="F3516" s="475"/>
      <c r="G3516" s="528"/>
    </row>
    <row r="3517" spans="1:7" ht="19.899999999999999" customHeight="1" x14ac:dyDescent="0.2">
      <c r="A3517" s="706" t="s">
        <v>576</v>
      </c>
      <c r="B3517" s="707"/>
      <c r="C3517" s="708" t="s">
        <v>0</v>
      </c>
      <c r="D3517" s="708" t="s">
        <v>1867</v>
      </c>
      <c r="E3517" s="710" t="s">
        <v>24</v>
      </c>
      <c r="F3517" s="712" t="s">
        <v>25</v>
      </c>
      <c r="G3517" s="714" t="s">
        <v>26</v>
      </c>
    </row>
    <row r="3518" spans="1:7" ht="19.899999999999999" customHeight="1" x14ac:dyDescent="0.2">
      <c r="A3518" s="491" t="s">
        <v>577</v>
      </c>
      <c r="B3518" s="491" t="s">
        <v>578</v>
      </c>
      <c r="C3518" s="709"/>
      <c r="D3518" s="709"/>
      <c r="E3518" s="711"/>
      <c r="F3518" s="713"/>
      <c r="G3518" s="715"/>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1016</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1833</v>
      </c>
      <c r="E3523" s="586"/>
      <c r="F3523" s="587" t="str">
        <f ca="1">"$/"&amp;G3457</f>
        <v>$/0</v>
      </c>
      <c r="G3523" s="537">
        <f>SUBTOTAL(9,G3480:G3522)</f>
        <v>0</v>
      </c>
    </row>
    <row r="3524" spans="1:7" ht="19.899999999999999" customHeight="1" x14ac:dyDescent="0.2">
      <c r="A3524" s="533"/>
      <c r="B3524" s="534"/>
      <c r="C3524" s="535"/>
      <c r="D3524" s="535" t="s">
        <v>2043</v>
      </c>
      <c r="E3524" s="536"/>
      <c r="F3524" s="589" t="str">
        <f ca="1">"$/"&amp;G3457</f>
        <v>$/0</v>
      </c>
      <c r="G3524" s="537">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16" t="s">
        <v>31</v>
      </c>
      <c r="B3526" s="717"/>
      <c r="C3526" s="717"/>
      <c r="D3526" s="717"/>
      <c r="E3526" s="717"/>
      <c r="F3526" s="717"/>
      <c r="G3526" s="718"/>
    </row>
    <row r="3527" spans="1:7" ht="19.899999999999999" customHeight="1" x14ac:dyDescent="0.2">
      <c r="A3527" s="516" t="s">
        <v>711</v>
      </c>
      <c r="B3527" s="467" t="str">
        <f>Comitente</f>
        <v>DIRECCIÓN PROVINCIAL DE VIALIDAD</v>
      </c>
      <c r="C3527" s="468"/>
      <c r="D3527" s="469"/>
      <c r="E3527" s="469"/>
      <c r="F3527" s="470"/>
      <c r="G3527" s="517"/>
    </row>
    <row r="3528" spans="1:7" ht="19.899999999999999" customHeight="1" x14ac:dyDescent="0.2">
      <c r="A3528" s="516" t="s">
        <v>712</v>
      </c>
      <c r="B3528" s="467">
        <f>Contratista</f>
        <v>0</v>
      </c>
      <c r="C3528" s="471"/>
      <c r="D3528" s="471"/>
      <c r="E3528" s="471"/>
      <c r="F3528" s="467"/>
      <c r="G3528" s="518"/>
    </row>
    <row r="3529" spans="1:7" ht="19.899999999999999" customHeight="1" x14ac:dyDescent="0.2">
      <c r="A3529" s="516" t="s">
        <v>21</v>
      </c>
      <c r="B3529" s="467" t="str">
        <f>Obra</f>
        <v>OBRA BÁSICA Y PAVIMENTACIÓN CALLE GÜEMES</v>
      </c>
      <c r="C3529" s="471"/>
      <c r="D3529" s="471"/>
      <c r="E3529" s="471"/>
      <c r="F3529" s="467" t="s">
        <v>32</v>
      </c>
      <c r="G3529" s="518">
        <f>Fecha_Base</f>
        <v>0</v>
      </c>
    </row>
    <row r="3530" spans="1:7" ht="19.899999999999999" customHeight="1" x14ac:dyDescent="0.2">
      <c r="A3530" s="519" t="s">
        <v>710</v>
      </c>
      <c r="B3530" s="472" t="str">
        <f>Ubicación</f>
        <v>Rawson - Santa Lucia</v>
      </c>
      <c r="C3530" s="472"/>
      <c r="D3530" s="473"/>
      <c r="E3530" s="474"/>
      <c r="F3530" s="475"/>
      <c r="G3530" s="520"/>
    </row>
    <row r="3531" spans="1:7" ht="19.899999999999999" customHeight="1" x14ac:dyDescent="0.2">
      <c r="A3531" s="519" t="s">
        <v>33</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22</v>
      </c>
      <c r="B3532" s="477" t="str">
        <f>IFERROR(VLOOKUP(COUNTIF($A$1:A3532,"ANALISIS DE PRECIOS"),T_NumeroItem,2,FALSE),"")</f>
        <v/>
      </c>
      <c r="C3532" s="719">
        <f ca="1">IFERROR(VLOOKUP(B3532,T_Computo_Presupuesto,2,FALSE),0)</f>
        <v>0</v>
      </c>
      <c r="D3532" s="719"/>
      <c r="E3532" s="719"/>
      <c r="F3532" s="472" t="s">
        <v>23</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999</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1000</v>
      </c>
      <c r="D3536" s="482" t="s">
        <v>24</v>
      </c>
      <c r="E3536" s="482" t="s">
        <v>1001</v>
      </c>
      <c r="F3536" s="482" t="s">
        <v>1002</v>
      </c>
      <c r="G3536" s="481" t="s">
        <v>1003</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1004</v>
      </c>
      <c r="D3548" s="472" t="s">
        <v>1001</v>
      </c>
      <c r="E3548" s="538">
        <f>SUMPRODUCT(D3537:D3546,E3537:E3546)</f>
        <v>0</v>
      </c>
      <c r="F3548" s="472" t="s">
        <v>1005</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1006</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06" t="s">
        <v>576</v>
      </c>
      <c r="B3552" s="707"/>
      <c r="C3552" s="708" t="s">
        <v>0</v>
      </c>
      <c r="D3552" s="720" t="s">
        <v>1866</v>
      </c>
      <c r="E3552" s="720" t="s">
        <v>1865</v>
      </c>
      <c r="F3552" s="712" t="s">
        <v>1007</v>
      </c>
      <c r="G3552" s="714" t="s">
        <v>26</v>
      </c>
    </row>
    <row r="3553" spans="1:7" ht="19.899999999999999" customHeight="1" x14ac:dyDescent="0.2">
      <c r="A3553" s="491" t="s">
        <v>577</v>
      </c>
      <c r="B3553" s="491" t="s">
        <v>578</v>
      </c>
      <c r="C3553" s="709"/>
      <c r="D3553" s="721"/>
      <c r="E3553" s="711"/>
      <c r="F3553" s="713"/>
      <c r="G3553" s="715"/>
    </row>
    <row r="3554" spans="1:7" ht="19.899999999999999" customHeight="1" x14ac:dyDescent="0.2">
      <c r="A3554" s="527"/>
      <c r="B3554" s="175"/>
      <c r="C3554" s="469" t="s">
        <v>1008</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27</v>
      </c>
      <c r="G3564" s="531">
        <f>SUBTOTAL(9,G3555:G3563)</f>
        <v>0</v>
      </c>
    </row>
    <row r="3565" spans="1:7" ht="19.899999999999999" customHeight="1" x14ac:dyDescent="0.2">
      <c r="A3565" s="527"/>
      <c r="B3565" s="175"/>
      <c r="C3565" s="469" t="s">
        <v>713</v>
      </c>
      <c r="D3565" s="473"/>
      <c r="E3565" s="474"/>
      <c r="F3565" s="475"/>
      <c r="G3565" s="528"/>
    </row>
    <row r="3566" spans="1:7" ht="19.899999999999999" customHeight="1" x14ac:dyDescent="0.2">
      <c r="A3566" s="706" t="s">
        <v>576</v>
      </c>
      <c r="B3566" s="707"/>
      <c r="C3566" s="708" t="s">
        <v>0</v>
      </c>
      <c r="D3566" s="710" t="s">
        <v>24</v>
      </c>
      <c r="E3566" s="710" t="s">
        <v>1832</v>
      </c>
      <c r="F3566" s="712" t="s">
        <v>1007</v>
      </c>
      <c r="G3566" s="714" t="s">
        <v>26</v>
      </c>
    </row>
    <row r="3567" spans="1:7" ht="19.899999999999999" customHeight="1" x14ac:dyDescent="0.2">
      <c r="A3567" s="491" t="s">
        <v>577</v>
      </c>
      <c r="B3567" s="491" t="s">
        <v>578</v>
      </c>
      <c r="C3567" s="709"/>
      <c r="D3567" s="711"/>
      <c r="E3567" s="711"/>
      <c r="F3567" s="713"/>
      <c r="G3567" s="715"/>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28</v>
      </c>
      <c r="G3575" s="532">
        <f>SUBTOTAL(9,G3568:G3574)</f>
        <v>0</v>
      </c>
    </row>
    <row r="3576" spans="1:7" ht="19.899999999999999" customHeight="1" x14ac:dyDescent="0.2">
      <c r="A3576" s="527"/>
      <c r="B3576" s="175"/>
      <c r="C3576" s="469" t="s">
        <v>1014</v>
      </c>
      <c r="D3576" s="473"/>
      <c r="E3576" s="474"/>
      <c r="F3576" s="475"/>
      <c r="G3576" s="528"/>
    </row>
    <row r="3577" spans="1:7" ht="19.899999999999999" customHeight="1" x14ac:dyDescent="0.2">
      <c r="A3577" s="706" t="s">
        <v>576</v>
      </c>
      <c r="B3577" s="707"/>
      <c r="C3577" s="708" t="s">
        <v>0</v>
      </c>
      <c r="D3577" s="708" t="s">
        <v>1867</v>
      </c>
      <c r="E3577" s="710" t="s">
        <v>24</v>
      </c>
      <c r="F3577" s="712" t="s">
        <v>25</v>
      </c>
      <c r="G3577" s="714" t="s">
        <v>26</v>
      </c>
    </row>
    <row r="3578" spans="1:7" ht="19.899999999999999" customHeight="1" x14ac:dyDescent="0.2">
      <c r="A3578" s="491" t="s">
        <v>577</v>
      </c>
      <c r="B3578" s="491" t="s">
        <v>578</v>
      </c>
      <c r="C3578" s="709"/>
      <c r="D3578" s="709"/>
      <c r="E3578" s="711"/>
      <c r="F3578" s="713"/>
      <c r="G3578" s="715"/>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29</v>
      </c>
      <c r="G3590" s="532">
        <f>SUBTOTAL(9,G3579:G3589)</f>
        <v>0</v>
      </c>
    </row>
    <row r="3591" spans="1:7" ht="19.899999999999999" customHeight="1" x14ac:dyDescent="0.2">
      <c r="A3591" s="527"/>
      <c r="B3591" s="175"/>
      <c r="C3591" s="469" t="s">
        <v>1015</v>
      </c>
      <c r="D3591" s="473"/>
      <c r="E3591" s="474"/>
      <c r="F3591" s="475"/>
      <c r="G3591" s="528"/>
    </row>
    <row r="3592" spans="1:7" ht="19.899999999999999" customHeight="1" x14ac:dyDescent="0.2">
      <c r="A3592" s="706" t="s">
        <v>576</v>
      </c>
      <c r="B3592" s="707"/>
      <c r="C3592" s="708" t="s">
        <v>0</v>
      </c>
      <c r="D3592" s="708" t="s">
        <v>1867</v>
      </c>
      <c r="E3592" s="710" t="s">
        <v>24</v>
      </c>
      <c r="F3592" s="712" t="s">
        <v>25</v>
      </c>
      <c r="G3592" s="714" t="s">
        <v>26</v>
      </c>
    </row>
    <row r="3593" spans="1:7" ht="19.899999999999999" customHeight="1" x14ac:dyDescent="0.2">
      <c r="A3593" s="491" t="s">
        <v>577</v>
      </c>
      <c r="B3593" s="491" t="s">
        <v>578</v>
      </c>
      <c r="C3593" s="709"/>
      <c r="D3593" s="709"/>
      <c r="E3593" s="711"/>
      <c r="F3593" s="713"/>
      <c r="G3593" s="715"/>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1016</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1833</v>
      </c>
      <c r="E3598" s="586"/>
      <c r="F3598" s="587" t="str">
        <f ca="1">"$/"&amp;G3532</f>
        <v>$/0</v>
      </c>
      <c r="G3598" s="537">
        <f>SUBTOTAL(9,G3555:G3597)</f>
        <v>0</v>
      </c>
    </row>
    <row r="3599" spans="1:7" ht="19.899999999999999" customHeight="1" x14ac:dyDescent="0.2">
      <c r="A3599" s="533"/>
      <c r="B3599" s="534"/>
      <c r="C3599" s="535"/>
      <c r="D3599" s="535" t="s">
        <v>2043</v>
      </c>
      <c r="E3599" s="536"/>
      <c r="F3599" s="589" t="str">
        <f ca="1">"$/"&amp;G3532</f>
        <v>$/0</v>
      </c>
      <c r="G3599" s="537">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16" t="s">
        <v>31</v>
      </c>
      <c r="B3601" s="717"/>
      <c r="C3601" s="717"/>
      <c r="D3601" s="717"/>
      <c r="E3601" s="717"/>
      <c r="F3601" s="717"/>
      <c r="G3601" s="718"/>
    </row>
    <row r="3602" spans="1:7" ht="19.899999999999999" customHeight="1" x14ac:dyDescent="0.2">
      <c r="A3602" s="516" t="s">
        <v>711</v>
      </c>
      <c r="B3602" s="467" t="str">
        <f>Comitente</f>
        <v>DIRECCIÓN PROVINCIAL DE VIALIDAD</v>
      </c>
      <c r="C3602" s="468"/>
      <c r="D3602" s="469"/>
      <c r="E3602" s="469"/>
      <c r="F3602" s="470"/>
      <c r="G3602" s="517"/>
    </row>
    <row r="3603" spans="1:7" ht="19.899999999999999" customHeight="1" x14ac:dyDescent="0.2">
      <c r="A3603" s="516" t="s">
        <v>712</v>
      </c>
      <c r="B3603" s="467">
        <f>Contratista</f>
        <v>0</v>
      </c>
      <c r="C3603" s="471"/>
      <c r="D3603" s="471"/>
      <c r="E3603" s="471"/>
      <c r="F3603" s="467"/>
      <c r="G3603" s="518"/>
    </row>
    <row r="3604" spans="1:7" ht="19.899999999999999" customHeight="1" x14ac:dyDescent="0.2">
      <c r="A3604" s="516" t="s">
        <v>21</v>
      </c>
      <c r="B3604" s="467" t="str">
        <f>Obra</f>
        <v>OBRA BÁSICA Y PAVIMENTACIÓN CALLE GÜEMES</v>
      </c>
      <c r="C3604" s="471"/>
      <c r="D3604" s="471"/>
      <c r="E3604" s="471"/>
      <c r="F3604" s="467" t="s">
        <v>32</v>
      </c>
      <c r="G3604" s="518">
        <f>Fecha_Base</f>
        <v>0</v>
      </c>
    </row>
    <row r="3605" spans="1:7" ht="19.899999999999999" customHeight="1" x14ac:dyDescent="0.2">
      <c r="A3605" s="519" t="s">
        <v>710</v>
      </c>
      <c r="B3605" s="472" t="str">
        <f>Ubicación</f>
        <v>Rawson - Santa Lucia</v>
      </c>
      <c r="C3605" s="472"/>
      <c r="D3605" s="473"/>
      <c r="E3605" s="474"/>
      <c r="F3605" s="475"/>
      <c r="G3605" s="520"/>
    </row>
    <row r="3606" spans="1:7" ht="19.899999999999999" customHeight="1" x14ac:dyDescent="0.2">
      <c r="A3606" s="519" t="s">
        <v>33</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22</v>
      </c>
      <c r="B3607" s="477" t="str">
        <f>IFERROR(VLOOKUP(COUNTIF($A$1:A3607,"ANALISIS DE PRECIOS"),T_NumeroItem,2,FALSE),"")</f>
        <v/>
      </c>
      <c r="C3607" s="719">
        <f ca="1">IFERROR(VLOOKUP(B3607,T_Computo_Presupuesto,2,FALSE),0)</f>
        <v>0</v>
      </c>
      <c r="D3607" s="719"/>
      <c r="E3607" s="719"/>
      <c r="F3607" s="472" t="s">
        <v>23</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999</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1000</v>
      </c>
      <c r="D3611" s="482" t="s">
        <v>24</v>
      </c>
      <c r="E3611" s="482" t="s">
        <v>1001</v>
      </c>
      <c r="F3611" s="482" t="s">
        <v>1002</v>
      </c>
      <c r="G3611" s="481" t="s">
        <v>1003</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1004</v>
      </c>
      <c r="D3623" s="472" t="s">
        <v>1001</v>
      </c>
      <c r="E3623" s="538">
        <f>SUMPRODUCT(D3612:D3621,E3612:E3621)</f>
        <v>0</v>
      </c>
      <c r="F3623" s="472" t="s">
        <v>1005</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1006</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06" t="s">
        <v>576</v>
      </c>
      <c r="B3627" s="707"/>
      <c r="C3627" s="708" t="s">
        <v>0</v>
      </c>
      <c r="D3627" s="720" t="s">
        <v>1866</v>
      </c>
      <c r="E3627" s="720" t="s">
        <v>1865</v>
      </c>
      <c r="F3627" s="712" t="s">
        <v>1007</v>
      </c>
      <c r="G3627" s="714" t="s">
        <v>26</v>
      </c>
    </row>
    <row r="3628" spans="1:7" ht="19.899999999999999" customHeight="1" x14ac:dyDescent="0.2">
      <c r="A3628" s="491" t="s">
        <v>577</v>
      </c>
      <c r="B3628" s="491" t="s">
        <v>578</v>
      </c>
      <c r="C3628" s="709"/>
      <c r="D3628" s="721"/>
      <c r="E3628" s="711"/>
      <c r="F3628" s="713"/>
      <c r="G3628" s="715"/>
    </row>
    <row r="3629" spans="1:7" ht="19.899999999999999" customHeight="1" x14ac:dyDescent="0.2">
      <c r="A3629" s="527"/>
      <c r="B3629" s="175"/>
      <c r="C3629" s="469" t="s">
        <v>1008</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27</v>
      </c>
      <c r="G3639" s="531">
        <f>SUBTOTAL(9,G3630:G3638)</f>
        <v>0</v>
      </c>
    </row>
    <row r="3640" spans="1:7" ht="19.899999999999999" customHeight="1" x14ac:dyDescent="0.2">
      <c r="A3640" s="527"/>
      <c r="B3640" s="175"/>
      <c r="C3640" s="469" t="s">
        <v>713</v>
      </c>
      <c r="D3640" s="473"/>
      <c r="E3640" s="474"/>
      <c r="F3640" s="475"/>
      <c r="G3640" s="528"/>
    </row>
    <row r="3641" spans="1:7" ht="19.899999999999999" customHeight="1" x14ac:dyDescent="0.2">
      <c r="A3641" s="706" t="s">
        <v>576</v>
      </c>
      <c r="B3641" s="707"/>
      <c r="C3641" s="708" t="s">
        <v>0</v>
      </c>
      <c r="D3641" s="710" t="s">
        <v>24</v>
      </c>
      <c r="E3641" s="710" t="s">
        <v>1832</v>
      </c>
      <c r="F3641" s="712" t="s">
        <v>1007</v>
      </c>
      <c r="G3641" s="714" t="s">
        <v>26</v>
      </c>
    </row>
    <row r="3642" spans="1:7" ht="19.899999999999999" customHeight="1" x14ac:dyDescent="0.2">
      <c r="A3642" s="491" t="s">
        <v>577</v>
      </c>
      <c r="B3642" s="491" t="s">
        <v>578</v>
      </c>
      <c r="C3642" s="709"/>
      <c r="D3642" s="711"/>
      <c r="E3642" s="711"/>
      <c r="F3642" s="713"/>
      <c r="G3642" s="715"/>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28</v>
      </c>
      <c r="G3650" s="532">
        <f>SUBTOTAL(9,G3643:G3649)</f>
        <v>0</v>
      </c>
    </row>
    <row r="3651" spans="1:7" ht="19.899999999999999" customHeight="1" x14ac:dyDescent="0.2">
      <c r="A3651" s="527"/>
      <c r="B3651" s="175"/>
      <c r="C3651" s="469" t="s">
        <v>1014</v>
      </c>
      <c r="D3651" s="473"/>
      <c r="E3651" s="474"/>
      <c r="F3651" s="475"/>
      <c r="G3651" s="528"/>
    </row>
    <row r="3652" spans="1:7" ht="19.899999999999999" customHeight="1" x14ac:dyDescent="0.2">
      <c r="A3652" s="706" t="s">
        <v>576</v>
      </c>
      <c r="B3652" s="707"/>
      <c r="C3652" s="708" t="s">
        <v>0</v>
      </c>
      <c r="D3652" s="708" t="s">
        <v>1867</v>
      </c>
      <c r="E3652" s="710" t="s">
        <v>24</v>
      </c>
      <c r="F3652" s="712" t="s">
        <v>25</v>
      </c>
      <c r="G3652" s="714" t="s">
        <v>26</v>
      </c>
    </row>
    <row r="3653" spans="1:7" ht="19.899999999999999" customHeight="1" x14ac:dyDescent="0.2">
      <c r="A3653" s="491" t="s">
        <v>577</v>
      </c>
      <c r="B3653" s="491" t="s">
        <v>578</v>
      </c>
      <c r="C3653" s="709"/>
      <c r="D3653" s="709"/>
      <c r="E3653" s="711"/>
      <c r="F3653" s="713"/>
      <c r="G3653" s="715"/>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29</v>
      </c>
      <c r="G3665" s="532">
        <f>SUBTOTAL(9,G3654:G3664)</f>
        <v>0</v>
      </c>
    </row>
    <row r="3666" spans="1:7" ht="19.899999999999999" customHeight="1" x14ac:dyDescent="0.2">
      <c r="A3666" s="527"/>
      <c r="B3666" s="175"/>
      <c r="C3666" s="469" t="s">
        <v>1015</v>
      </c>
      <c r="D3666" s="473"/>
      <c r="E3666" s="474"/>
      <c r="F3666" s="475"/>
      <c r="G3666" s="528"/>
    </row>
    <row r="3667" spans="1:7" ht="19.899999999999999" customHeight="1" x14ac:dyDescent="0.2">
      <c r="A3667" s="706" t="s">
        <v>576</v>
      </c>
      <c r="B3667" s="707"/>
      <c r="C3667" s="708" t="s">
        <v>0</v>
      </c>
      <c r="D3667" s="708" t="s">
        <v>1867</v>
      </c>
      <c r="E3667" s="710" t="s">
        <v>24</v>
      </c>
      <c r="F3667" s="712" t="s">
        <v>25</v>
      </c>
      <c r="G3667" s="714" t="s">
        <v>26</v>
      </c>
    </row>
    <row r="3668" spans="1:7" ht="19.899999999999999" customHeight="1" x14ac:dyDescent="0.2">
      <c r="A3668" s="491" t="s">
        <v>577</v>
      </c>
      <c r="B3668" s="491" t="s">
        <v>578</v>
      </c>
      <c r="C3668" s="709"/>
      <c r="D3668" s="709"/>
      <c r="E3668" s="711"/>
      <c r="F3668" s="713"/>
      <c r="G3668" s="715"/>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1016</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1833</v>
      </c>
      <c r="E3673" s="586"/>
      <c r="F3673" s="587" t="str">
        <f ca="1">"$/"&amp;G3607</f>
        <v>$/0</v>
      </c>
      <c r="G3673" s="537">
        <f>SUBTOTAL(9,G3630:G3672)</f>
        <v>0</v>
      </c>
    </row>
    <row r="3674" spans="1:7" ht="19.899999999999999" customHeight="1" x14ac:dyDescent="0.2">
      <c r="A3674" s="533"/>
      <c r="B3674" s="534"/>
      <c r="C3674" s="535"/>
      <c r="D3674" s="535" t="s">
        <v>2043</v>
      </c>
      <c r="E3674" s="536"/>
      <c r="F3674" s="589" t="str">
        <f ca="1">"$/"&amp;G3607</f>
        <v>$/0</v>
      </c>
      <c r="G3674" s="537">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16" t="s">
        <v>31</v>
      </c>
      <c r="B3676" s="717"/>
      <c r="C3676" s="717"/>
      <c r="D3676" s="717"/>
      <c r="E3676" s="717"/>
      <c r="F3676" s="717"/>
      <c r="G3676" s="718"/>
    </row>
    <row r="3677" spans="1:7" ht="19.899999999999999" customHeight="1" x14ac:dyDescent="0.2">
      <c r="A3677" s="516" t="s">
        <v>711</v>
      </c>
      <c r="B3677" s="467" t="str">
        <f>Comitente</f>
        <v>DIRECCIÓN PROVINCIAL DE VIALIDAD</v>
      </c>
      <c r="C3677" s="468"/>
      <c r="D3677" s="469"/>
      <c r="E3677" s="469"/>
      <c r="F3677" s="470"/>
      <c r="G3677" s="517"/>
    </row>
    <row r="3678" spans="1:7" ht="19.899999999999999" customHeight="1" x14ac:dyDescent="0.2">
      <c r="A3678" s="516" t="s">
        <v>712</v>
      </c>
      <c r="B3678" s="467">
        <f>Contratista</f>
        <v>0</v>
      </c>
      <c r="C3678" s="471"/>
      <c r="D3678" s="471"/>
      <c r="E3678" s="471"/>
      <c r="F3678" s="467"/>
      <c r="G3678" s="518"/>
    </row>
    <row r="3679" spans="1:7" ht="19.899999999999999" customHeight="1" x14ac:dyDescent="0.2">
      <c r="A3679" s="516" t="s">
        <v>21</v>
      </c>
      <c r="B3679" s="467" t="str">
        <f>Obra</f>
        <v>OBRA BÁSICA Y PAVIMENTACIÓN CALLE GÜEMES</v>
      </c>
      <c r="C3679" s="471"/>
      <c r="D3679" s="471"/>
      <c r="E3679" s="471"/>
      <c r="F3679" s="467" t="s">
        <v>32</v>
      </c>
      <c r="G3679" s="518">
        <f>Fecha_Base</f>
        <v>0</v>
      </c>
    </row>
    <row r="3680" spans="1:7" ht="19.899999999999999" customHeight="1" x14ac:dyDescent="0.2">
      <c r="A3680" s="519" t="s">
        <v>710</v>
      </c>
      <c r="B3680" s="472" t="str">
        <f>Ubicación</f>
        <v>Rawson - Santa Lucia</v>
      </c>
      <c r="C3680" s="472"/>
      <c r="D3680" s="473"/>
      <c r="E3680" s="474"/>
      <c r="F3680" s="475"/>
      <c r="G3680" s="520"/>
    </row>
    <row r="3681" spans="1:7" ht="19.899999999999999" customHeight="1" x14ac:dyDescent="0.2">
      <c r="A3681" s="519" t="s">
        <v>33</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22</v>
      </c>
      <c r="B3682" s="477" t="str">
        <f>IFERROR(VLOOKUP(COUNTIF($A$1:A3682,"ANALISIS DE PRECIOS"),T_NumeroItem,2,FALSE),"")</f>
        <v/>
      </c>
      <c r="C3682" s="719">
        <f ca="1">IFERROR(VLOOKUP(B3682,T_Computo_Presupuesto,2,FALSE),0)</f>
        <v>0</v>
      </c>
      <c r="D3682" s="719"/>
      <c r="E3682" s="719"/>
      <c r="F3682" s="472" t="s">
        <v>23</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999</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1000</v>
      </c>
      <c r="D3686" s="482" t="s">
        <v>24</v>
      </c>
      <c r="E3686" s="482" t="s">
        <v>1001</v>
      </c>
      <c r="F3686" s="482" t="s">
        <v>1002</v>
      </c>
      <c r="G3686" s="481" t="s">
        <v>1003</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1004</v>
      </c>
      <c r="D3698" s="472" t="s">
        <v>1001</v>
      </c>
      <c r="E3698" s="538">
        <f>SUMPRODUCT(D3687:D3696,E3687:E3696)</f>
        <v>0</v>
      </c>
      <c r="F3698" s="472" t="s">
        <v>1005</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1006</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06" t="s">
        <v>576</v>
      </c>
      <c r="B3702" s="707"/>
      <c r="C3702" s="708" t="s">
        <v>0</v>
      </c>
      <c r="D3702" s="720" t="s">
        <v>1866</v>
      </c>
      <c r="E3702" s="720" t="s">
        <v>1865</v>
      </c>
      <c r="F3702" s="712" t="s">
        <v>1007</v>
      </c>
      <c r="G3702" s="714" t="s">
        <v>26</v>
      </c>
    </row>
    <row r="3703" spans="1:7" ht="19.899999999999999" customHeight="1" x14ac:dyDescent="0.2">
      <c r="A3703" s="491" t="s">
        <v>577</v>
      </c>
      <c r="B3703" s="491" t="s">
        <v>578</v>
      </c>
      <c r="C3703" s="709"/>
      <c r="D3703" s="721"/>
      <c r="E3703" s="711"/>
      <c r="F3703" s="713"/>
      <c r="G3703" s="715"/>
    </row>
    <row r="3704" spans="1:7" ht="19.899999999999999" customHeight="1" x14ac:dyDescent="0.2">
      <c r="A3704" s="527"/>
      <c r="B3704" s="175"/>
      <c r="C3704" s="469" t="s">
        <v>1008</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27</v>
      </c>
      <c r="G3714" s="531">
        <f>SUBTOTAL(9,G3705:G3713)</f>
        <v>0</v>
      </c>
    </row>
    <row r="3715" spans="1:7" ht="19.899999999999999" customHeight="1" x14ac:dyDescent="0.2">
      <c r="A3715" s="527"/>
      <c r="B3715" s="175"/>
      <c r="C3715" s="469" t="s">
        <v>713</v>
      </c>
      <c r="D3715" s="473"/>
      <c r="E3715" s="474"/>
      <c r="F3715" s="475"/>
      <c r="G3715" s="528"/>
    </row>
    <row r="3716" spans="1:7" ht="19.899999999999999" customHeight="1" x14ac:dyDescent="0.2">
      <c r="A3716" s="706" t="s">
        <v>576</v>
      </c>
      <c r="B3716" s="707"/>
      <c r="C3716" s="708" t="s">
        <v>0</v>
      </c>
      <c r="D3716" s="710" t="s">
        <v>24</v>
      </c>
      <c r="E3716" s="710" t="s">
        <v>1832</v>
      </c>
      <c r="F3716" s="712" t="s">
        <v>1007</v>
      </c>
      <c r="G3716" s="714" t="s">
        <v>26</v>
      </c>
    </row>
    <row r="3717" spans="1:7" ht="19.899999999999999" customHeight="1" x14ac:dyDescent="0.2">
      <c r="A3717" s="491" t="s">
        <v>577</v>
      </c>
      <c r="B3717" s="491" t="s">
        <v>578</v>
      </c>
      <c r="C3717" s="709"/>
      <c r="D3717" s="711"/>
      <c r="E3717" s="711"/>
      <c r="F3717" s="713"/>
      <c r="G3717" s="715"/>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28</v>
      </c>
      <c r="G3725" s="532">
        <f>SUBTOTAL(9,G3718:G3724)</f>
        <v>0</v>
      </c>
    </row>
    <row r="3726" spans="1:7" ht="19.899999999999999" customHeight="1" x14ac:dyDescent="0.2">
      <c r="A3726" s="527"/>
      <c r="B3726" s="175"/>
      <c r="C3726" s="469" t="s">
        <v>1014</v>
      </c>
      <c r="D3726" s="473"/>
      <c r="E3726" s="474"/>
      <c r="F3726" s="475"/>
      <c r="G3726" s="528"/>
    </row>
    <row r="3727" spans="1:7" ht="19.899999999999999" customHeight="1" x14ac:dyDescent="0.2">
      <c r="A3727" s="706" t="s">
        <v>576</v>
      </c>
      <c r="B3727" s="707"/>
      <c r="C3727" s="708" t="s">
        <v>0</v>
      </c>
      <c r="D3727" s="708" t="s">
        <v>1867</v>
      </c>
      <c r="E3727" s="710" t="s">
        <v>24</v>
      </c>
      <c r="F3727" s="712" t="s">
        <v>25</v>
      </c>
      <c r="G3727" s="714" t="s">
        <v>26</v>
      </c>
    </row>
    <row r="3728" spans="1:7" ht="19.899999999999999" customHeight="1" x14ac:dyDescent="0.2">
      <c r="A3728" s="491" t="s">
        <v>577</v>
      </c>
      <c r="B3728" s="491" t="s">
        <v>578</v>
      </c>
      <c r="C3728" s="709"/>
      <c r="D3728" s="709"/>
      <c r="E3728" s="711"/>
      <c r="F3728" s="713"/>
      <c r="G3728" s="715"/>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29</v>
      </c>
      <c r="G3740" s="532">
        <f>SUBTOTAL(9,G3729:G3739)</f>
        <v>0</v>
      </c>
    </row>
    <row r="3741" spans="1:7" ht="19.899999999999999" customHeight="1" x14ac:dyDescent="0.2">
      <c r="A3741" s="527"/>
      <c r="B3741" s="175"/>
      <c r="C3741" s="469" t="s">
        <v>1015</v>
      </c>
      <c r="D3741" s="473"/>
      <c r="E3741" s="474"/>
      <c r="F3741" s="475"/>
      <c r="G3741" s="528"/>
    </row>
    <row r="3742" spans="1:7" ht="19.899999999999999" customHeight="1" x14ac:dyDescent="0.2">
      <c r="A3742" s="706" t="s">
        <v>576</v>
      </c>
      <c r="B3742" s="707"/>
      <c r="C3742" s="708" t="s">
        <v>0</v>
      </c>
      <c r="D3742" s="708" t="s">
        <v>1867</v>
      </c>
      <c r="E3742" s="710" t="s">
        <v>24</v>
      </c>
      <c r="F3742" s="712" t="s">
        <v>25</v>
      </c>
      <c r="G3742" s="714" t="s">
        <v>26</v>
      </c>
    </row>
    <row r="3743" spans="1:7" ht="19.899999999999999" customHeight="1" x14ac:dyDescent="0.2">
      <c r="A3743" s="491" t="s">
        <v>577</v>
      </c>
      <c r="B3743" s="491" t="s">
        <v>578</v>
      </c>
      <c r="C3743" s="709"/>
      <c r="D3743" s="709"/>
      <c r="E3743" s="711"/>
      <c r="F3743" s="713"/>
      <c r="G3743" s="715"/>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1016</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1833</v>
      </c>
      <c r="E3748" s="586"/>
      <c r="F3748" s="587" t="str">
        <f ca="1">"$/"&amp;G3682</f>
        <v>$/0</v>
      </c>
      <c r="G3748" s="537">
        <f>SUBTOTAL(9,G3705:G3747)</f>
        <v>0</v>
      </c>
    </row>
    <row r="3749" spans="1:7" ht="19.899999999999999" customHeight="1" x14ac:dyDescent="0.2">
      <c r="A3749" s="533"/>
      <c r="B3749" s="534"/>
      <c r="C3749" s="535"/>
      <c r="D3749" s="535" t="s">
        <v>2043</v>
      </c>
      <c r="E3749" s="536"/>
      <c r="F3749" s="589" t="str">
        <f ca="1">"$/"&amp;G3682</f>
        <v>$/0</v>
      </c>
      <c r="G3749" s="537">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16" t="s">
        <v>31</v>
      </c>
      <c r="B3751" s="717"/>
      <c r="C3751" s="717"/>
      <c r="D3751" s="717"/>
      <c r="E3751" s="717"/>
      <c r="F3751" s="717"/>
      <c r="G3751" s="718"/>
    </row>
    <row r="3752" spans="1:7" ht="19.899999999999999" customHeight="1" x14ac:dyDescent="0.2">
      <c r="A3752" s="516" t="s">
        <v>711</v>
      </c>
      <c r="B3752" s="467" t="str">
        <f>Comitente</f>
        <v>DIRECCIÓN PROVINCIAL DE VIALIDAD</v>
      </c>
      <c r="C3752" s="468"/>
      <c r="D3752" s="469"/>
      <c r="E3752" s="469"/>
      <c r="F3752" s="470"/>
      <c r="G3752" s="517"/>
    </row>
    <row r="3753" spans="1:7" ht="19.899999999999999" customHeight="1" x14ac:dyDescent="0.2">
      <c r="A3753" s="516" t="s">
        <v>712</v>
      </c>
      <c r="B3753" s="467">
        <f>Contratista</f>
        <v>0</v>
      </c>
      <c r="C3753" s="471"/>
      <c r="D3753" s="471"/>
      <c r="E3753" s="471"/>
      <c r="F3753" s="467"/>
      <c r="G3753" s="518"/>
    </row>
    <row r="3754" spans="1:7" ht="19.899999999999999" customHeight="1" x14ac:dyDescent="0.2">
      <c r="A3754" s="516" t="s">
        <v>21</v>
      </c>
      <c r="B3754" s="467" t="str">
        <f>Obra</f>
        <v>OBRA BÁSICA Y PAVIMENTACIÓN CALLE GÜEMES</v>
      </c>
      <c r="C3754" s="471"/>
      <c r="D3754" s="471"/>
      <c r="E3754" s="471"/>
      <c r="F3754" s="467" t="s">
        <v>32</v>
      </c>
      <c r="G3754" s="518">
        <f>Fecha_Base</f>
        <v>0</v>
      </c>
    </row>
    <row r="3755" spans="1:7" ht="19.899999999999999" customHeight="1" x14ac:dyDescent="0.2">
      <c r="A3755" s="519" t="s">
        <v>710</v>
      </c>
      <c r="B3755" s="472" t="str">
        <f>Ubicación</f>
        <v>Rawson - Santa Lucia</v>
      </c>
      <c r="C3755" s="472"/>
      <c r="D3755" s="473"/>
      <c r="E3755" s="474"/>
      <c r="F3755" s="475"/>
      <c r="G3755" s="520"/>
    </row>
    <row r="3756" spans="1:7" ht="19.899999999999999" customHeight="1" x14ac:dyDescent="0.2">
      <c r="A3756" s="519" t="s">
        <v>33</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22</v>
      </c>
      <c r="B3757" s="477" t="str">
        <f>IFERROR(VLOOKUP(COUNTIF($A$1:A3757,"ANALISIS DE PRECIOS"),T_NumeroItem,2,FALSE),"")</f>
        <v/>
      </c>
      <c r="C3757" s="719">
        <f ca="1">IFERROR(VLOOKUP(B3757,T_Computo_Presupuesto,2,FALSE),0)</f>
        <v>0</v>
      </c>
      <c r="D3757" s="719"/>
      <c r="E3757" s="719"/>
      <c r="F3757" s="472" t="s">
        <v>23</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999</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1000</v>
      </c>
      <c r="D3761" s="482" t="s">
        <v>24</v>
      </c>
      <c r="E3761" s="482" t="s">
        <v>1001</v>
      </c>
      <c r="F3761" s="482" t="s">
        <v>1002</v>
      </c>
      <c r="G3761" s="481" t="s">
        <v>1003</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1004</v>
      </c>
      <c r="D3773" s="472" t="s">
        <v>1001</v>
      </c>
      <c r="E3773" s="538">
        <f>SUMPRODUCT(D3762:D3771,E3762:E3771)</f>
        <v>0</v>
      </c>
      <c r="F3773" s="472" t="s">
        <v>1005</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1006</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06" t="s">
        <v>576</v>
      </c>
      <c r="B3777" s="707"/>
      <c r="C3777" s="708" t="s">
        <v>0</v>
      </c>
      <c r="D3777" s="720" t="s">
        <v>1866</v>
      </c>
      <c r="E3777" s="720" t="s">
        <v>1865</v>
      </c>
      <c r="F3777" s="712" t="s">
        <v>1007</v>
      </c>
      <c r="G3777" s="714" t="s">
        <v>26</v>
      </c>
    </row>
    <row r="3778" spans="1:7" ht="19.899999999999999" customHeight="1" x14ac:dyDescent="0.2">
      <c r="A3778" s="491" t="s">
        <v>577</v>
      </c>
      <c r="B3778" s="491" t="s">
        <v>578</v>
      </c>
      <c r="C3778" s="709"/>
      <c r="D3778" s="721"/>
      <c r="E3778" s="711"/>
      <c r="F3778" s="713"/>
      <c r="G3778" s="715"/>
    </row>
    <row r="3779" spans="1:7" ht="19.899999999999999" customHeight="1" x14ac:dyDescent="0.2">
      <c r="A3779" s="527"/>
      <c r="B3779" s="175"/>
      <c r="C3779" s="469" t="s">
        <v>1008</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27</v>
      </c>
      <c r="G3789" s="531">
        <f>SUBTOTAL(9,G3780:G3788)</f>
        <v>0</v>
      </c>
    </row>
    <row r="3790" spans="1:7" ht="19.899999999999999" customHeight="1" x14ac:dyDescent="0.2">
      <c r="A3790" s="527"/>
      <c r="B3790" s="175"/>
      <c r="C3790" s="469" t="s">
        <v>713</v>
      </c>
      <c r="D3790" s="473"/>
      <c r="E3790" s="474"/>
      <c r="F3790" s="475"/>
      <c r="G3790" s="528"/>
    </row>
    <row r="3791" spans="1:7" ht="19.899999999999999" customHeight="1" x14ac:dyDescent="0.2">
      <c r="A3791" s="706" t="s">
        <v>576</v>
      </c>
      <c r="B3791" s="707"/>
      <c r="C3791" s="708" t="s">
        <v>0</v>
      </c>
      <c r="D3791" s="710" t="s">
        <v>24</v>
      </c>
      <c r="E3791" s="710" t="s">
        <v>1832</v>
      </c>
      <c r="F3791" s="712" t="s">
        <v>1007</v>
      </c>
      <c r="G3791" s="714" t="s">
        <v>26</v>
      </c>
    </row>
    <row r="3792" spans="1:7" ht="19.899999999999999" customHeight="1" x14ac:dyDescent="0.2">
      <c r="A3792" s="491" t="s">
        <v>577</v>
      </c>
      <c r="B3792" s="491" t="s">
        <v>578</v>
      </c>
      <c r="C3792" s="709"/>
      <c r="D3792" s="711"/>
      <c r="E3792" s="711"/>
      <c r="F3792" s="713"/>
      <c r="G3792" s="715"/>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28</v>
      </c>
      <c r="G3800" s="532">
        <f>SUBTOTAL(9,G3793:G3799)</f>
        <v>0</v>
      </c>
    </row>
    <row r="3801" spans="1:7" ht="19.899999999999999" customHeight="1" x14ac:dyDescent="0.2">
      <c r="A3801" s="527"/>
      <c r="B3801" s="175"/>
      <c r="C3801" s="469" t="s">
        <v>1014</v>
      </c>
      <c r="D3801" s="473"/>
      <c r="E3801" s="474"/>
      <c r="F3801" s="475"/>
      <c r="G3801" s="528"/>
    </row>
    <row r="3802" spans="1:7" ht="19.899999999999999" customHeight="1" x14ac:dyDescent="0.2">
      <c r="A3802" s="706" t="s">
        <v>576</v>
      </c>
      <c r="B3802" s="707"/>
      <c r="C3802" s="708" t="s">
        <v>0</v>
      </c>
      <c r="D3802" s="708" t="s">
        <v>1867</v>
      </c>
      <c r="E3802" s="710" t="s">
        <v>24</v>
      </c>
      <c r="F3802" s="712" t="s">
        <v>25</v>
      </c>
      <c r="G3802" s="714" t="s">
        <v>26</v>
      </c>
    </row>
    <row r="3803" spans="1:7" ht="19.899999999999999" customHeight="1" x14ac:dyDescent="0.2">
      <c r="A3803" s="491" t="s">
        <v>577</v>
      </c>
      <c r="B3803" s="491" t="s">
        <v>578</v>
      </c>
      <c r="C3803" s="709"/>
      <c r="D3803" s="709"/>
      <c r="E3803" s="711"/>
      <c r="F3803" s="713"/>
      <c r="G3803" s="715"/>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29</v>
      </c>
      <c r="G3815" s="532">
        <f>SUBTOTAL(9,G3804:G3814)</f>
        <v>0</v>
      </c>
    </row>
    <row r="3816" spans="1:7" ht="19.899999999999999" customHeight="1" x14ac:dyDescent="0.2">
      <c r="A3816" s="527"/>
      <c r="B3816" s="175"/>
      <c r="C3816" s="469" t="s">
        <v>1015</v>
      </c>
      <c r="D3816" s="473"/>
      <c r="E3816" s="474"/>
      <c r="F3816" s="475"/>
      <c r="G3816" s="528"/>
    </row>
    <row r="3817" spans="1:7" ht="19.899999999999999" customHeight="1" x14ac:dyDescent="0.2">
      <c r="A3817" s="706" t="s">
        <v>576</v>
      </c>
      <c r="B3817" s="707"/>
      <c r="C3817" s="708" t="s">
        <v>0</v>
      </c>
      <c r="D3817" s="708" t="s">
        <v>1867</v>
      </c>
      <c r="E3817" s="710" t="s">
        <v>24</v>
      </c>
      <c r="F3817" s="712" t="s">
        <v>25</v>
      </c>
      <c r="G3817" s="714" t="s">
        <v>26</v>
      </c>
    </row>
    <row r="3818" spans="1:7" ht="19.899999999999999" customHeight="1" x14ac:dyDescent="0.2">
      <c r="A3818" s="491" t="s">
        <v>577</v>
      </c>
      <c r="B3818" s="491" t="s">
        <v>578</v>
      </c>
      <c r="C3818" s="709"/>
      <c r="D3818" s="709"/>
      <c r="E3818" s="711"/>
      <c r="F3818" s="713"/>
      <c r="G3818" s="715"/>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1016</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1833</v>
      </c>
      <c r="E3823" s="586"/>
      <c r="F3823" s="587" t="str">
        <f ca="1">"$/"&amp;G3757</f>
        <v>$/0</v>
      </c>
      <c r="G3823" s="537">
        <f>SUBTOTAL(9,G3780:G3822)</f>
        <v>0</v>
      </c>
    </row>
    <row r="3824" spans="1:7" ht="19.899999999999999" customHeight="1" x14ac:dyDescent="0.2">
      <c r="A3824" s="533"/>
      <c r="B3824" s="534"/>
      <c r="C3824" s="535"/>
      <c r="D3824" s="535" t="s">
        <v>2043</v>
      </c>
      <c r="E3824" s="536"/>
      <c r="F3824" s="589" t="str">
        <f ca="1">"$/"&amp;G3757</f>
        <v>$/0</v>
      </c>
      <c r="G3824" s="537">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16" t="s">
        <v>31</v>
      </c>
      <c r="B3826" s="717"/>
      <c r="C3826" s="717"/>
      <c r="D3826" s="717"/>
      <c r="E3826" s="717"/>
      <c r="F3826" s="717"/>
      <c r="G3826" s="718"/>
    </row>
    <row r="3827" spans="1:7" ht="19.899999999999999" customHeight="1" x14ac:dyDescent="0.2">
      <c r="A3827" s="516" t="s">
        <v>711</v>
      </c>
      <c r="B3827" s="467" t="str">
        <f>Comitente</f>
        <v>DIRECCIÓN PROVINCIAL DE VIALIDAD</v>
      </c>
      <c r="C3827" s="468"/>
      <c r="D3827" s="469"/>
      <c r="E3827" s="469"/>
      <c r="F3827" s="470"/>
      <c r="G3827" s="517"/>
    </row>
    <row r="3828" spans="1:7" ht="19.899999999999999" customHeight="1" x14ac:dyDescent="0.2">
      <c r="A3828" s="516" t="s">
        <v>712</v>
      </c>
      <c r="B3828" s="467">
        <f>Contratista</f>
        <v>0</v>
      </c>
      <c r="C3828" s="471"/>
      <c r="D3828" s="471"/>
      <c r="E3828" s="471"/>
      <c r="F3828" s="467"/>
      <c r="G3828" s="518"/>
    </row>
    <row r="3829" spans="1:7" ht="19.899999999999999" customHeight="1" x14ac:dyDescent="0.2">
      <c r="A3829" s="516" t="s">
        <v>21</v>
      </c>
      <c r="B3829" s="467" t="str">
        <f>Obra</f>
        <v>OBRA BÁSICA Y PAVIMENTACIÓN CALLE GÜEMES</v>
      </c>
      <c r="C3829" s="471"/>
      <c r="D3829" s="471"/>
      <c r="E3829" s="471"/>
      <c r="F3829" s="467" t="s">
        <v>32</v>
      </c>
      <c r="G3829" s="518">
        <f>Fecha_Base</f>
        <v>0</v>
      </c>
    </row>
    <row r="3830" spans="1:7" ht="19.899999999999999" customHeight="1" x14ac:dyDescent="0.2">
      <c r="A3830" s="519" t="s">
        <v>710</v>
      </c>
      <c r="B3830" s="472" t="str">
        <f>Ubicación</f>
        <v>Rawson - Santa Lucia</v>
      </c>
      <c r="C3830" s="472"/>
      <c r="D3830" s="473"/>
      <c r="E3830" s="474"/>
      <c r="F3830" s="475"/>
      <c r="G3830" s="520"/>
    </row>
    <row r="3831" spans="1:7" ht="19.899999999999999" customHeight="1" x14ac:dyDescent="0.2">
      <c r="A3831" s="519" t="s">
        <v>33</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22</v>
      </c>
      <c r="B3832" s="477" t="str">
        <f>IFERROR(VLOOKUP(COUNTIF($A$1:A3832,"ANALISIS DE PRECIOS"),T_NumeroItem,2,FALSE),"")</f>
        <v/>
      </c>
      <c r="C3832" s="719">
        <f ca="1">IFERROR(VLOOKUP(B3832,T_Computo_Presupuesto,2,FALSE),0)</f>
        <v>0</v>
      </c>
      <c r="D3832" s="719"/>
      <c r="E3832" s="719"/>
      <c r="F3832" s="472" t="s">
        <v>23</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999</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1000</v>
      </c>
      <c r="D3836" s="482" t="s">
        <v>24</v>
      </c>
      <c r="E3836" s="482" t="s">
        <v>1001</v>
      </c>
      <c r="F3836" s="482" t="s">
        <v>1002</v>
      </c>
      <c r="G3836" s="481" t="s">
        <v>1003</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1004</v>
      </c>
      <c r="D3848" s="472" t="s">
        <v>1001</v>
      </c>
      <c r="E3848" s="538">
        <f>SUMPRODUCT(D3837:D3846,E3837:E3846)</f>
        <v>0</v>
      </c>
      <c r="F3848" s="472" t="s">
        <v>1005</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1006</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06" t="s">
        <v>576</v>
      </c>
      <c r="B3852" s="707"/>
      <c r="C3852" s="708" t="s">
        <v>0</v>
      </c>
      <c r="D3852" s="720" t="s">
        <v>1866</v>
      </c>
      <c r="E3852" s="720" t="s">
        <v>1865</v>
      </c>
      <c r="F3852" s="712" t="s">
        <v>1007</v>
      </c>
      <c r="G3852" s="714" t="s">
        <v>26</v>
      </c>
    </row>
    <row r="3853" spans="1:7" ht="19.899999999999999" customHeight="1" x14ac:dyDescent="0.2">
      <c r="A3853" s="491" t="s">
        <v>577</v>
      </c>
      <c r="B3853" s="491" t="s">
        <v>578</v>
      </c>
      <c r="C3853" s="709"/>
      <c r="D3853" s="721"/>
      <c r="E3853" s="711"/>
      <c r="F3853" s="713"/>
      <c r="G3853" s="715"/>
    </row>
    <row r="3854" spans="1:7" ht="19.899999999999999" customHeight="1" x14ac:dyDescent="0.2">
      <c r="A3854" s="527"/>
      <c r="B3854" s="175"/>
      <c r="C3854" s="469" t="s">
        <v>1008</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27</v>
      </c>
      <c r="G3864" s="531">
        <f>SUBTOTAL(9,G3855:G3863)</f>
        <v>0</v>
      </c>
    </row>
    <row r="3865" spans="1:7" ht="19.899999999999999" customHeight="1" x14ac:dyDescent="0.2">
      <c r="A3865" s="527"/>
      <c r="B3865" s="175"/>
      <c r="C3865" s="469" t="s">
        <v>713</v>
      </c>
      <c r="D3865" s="473"/>
      <c r="E3865" s="474"/>
      <c r="F3865" s="475"/>
      <c r="G3865" s="528"/>
    </row>
    <row r="3866" spans="1:7" ht="19.899999999999999" customHeight="1" x14ac:dyDescent="0.2">
      <c r="A3866" s="706" t="s">
        <v>576</v>
      </c>
      <c r="B3866" s="707"/>
      <c r="C3866" s="708" t="s">
        <v>0</v>
      </c>
      <c r="D3866" s="710" t="s">
        <v>24</v>
      </c>
      <c r="E3866" s="710" t="s">
        <v>1832</v>
      </c>
      <c r="F3866" s="712" t="s">
        <v>1007</v>
      </c>
      <c r="G3866" s="714" t="s">
        <v>26</v>
      </c>
    </row>
    <row r="3867" spans="1:7" ht="19.899999999999999" customHeight="1" x14ac:dyDescent="0.2">
      <c r="A3867" s="491" t="s">
        <v>577</v>
      </c>
      <c r="B3867" s="491" t="s">
        <v>578</v>
      </c>
      <c r="C3867" s="709"/>
      <c r="D3867" s="711"/>
      <c r="E3867" s="711"/>
      <c r="F3867" s="713"/>
      <c r="G3867" s="715"/>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28</v>
      </c>
      <c r="G3875" s="532">
        <f>SUBTOTAL(9,G3868:G3874)</f>
        <v>0</v>
      </c>
    </row>
    <row r="3876" spans="1:7" ht="19.899999999999999" customHeight="1" x14ac:dyDescent="0.2">
      <c r="A3876" s="527"/>
      <c r="B3876" s="175"/>
      <c r="C3876" s="469" t="s">
        <v>1014</v>
      </c>
      <c r="D3876" s="473"/>
      <c r="E3876" s="474"/>
      <c r="F3876" s="475"/>
      <c r="G3876" s="528"/>
    </row>
    <row r="3877" spans="1:7" ht="19.899999999999999" customHeight="1" x14ac:dyDescent="0.2">
      <c r="A3877" s="706" t="s">
        <v>576</v>
      </c>
      <c r="B3877" s="707"/>
      <c r="C3877" s="708" t="s">
        <v>0</v>
      </c>
      <c r="D3877" s="708" t="s">
        <v>1867</v>
      </c>
      <c r="E3877" s="710" t="s">
        <v>24</v>
      </c>
      <c r="F3877" s="712" t="s">
        <v>25</v>
      </c>
      <c r="G3877" s="714" t="s">
        <v>26</v>
      </c>
    </row>
    <row r="3878" spans="1:7" ht="19.899999999999999" customHeight="1" x14ac:dyDescent="0.2">
      <c r="A3878" s="491" t="s">
        <v>577</v>
      </c>
      <c r="B3878" s="491" t="s">
        <v>578</v>
      </c>
      <c r="C3878" s="709"/>
      <c r="D3878" s="709"/>
      <c r="E3878" s="711"/>
      <c r="F3878" s="713"/>
      <c r="G3878" s="715"/>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29</v>
      </c>
      <c r="G3890" s="532">
        <f>SUBTOTAL(9,G3879:G3889)</f>
        <v>0</v>
      </c>
    </row>
    <row r="3891" spans="1:7" ht="19.899999999999999" customHeight="1" x14ac:dyDescent="0.2">
      <c r="A3891" s="527"/>
      <c r="B3891" s="175"/>
      <c r="C3891" s="469" t="s">
        <v>1015</v>
      </c>
      <c r="D3891" s="473"/>
      <c r="E3891" s="474"/>
      <c r="F3891" s="475"/>
      <c r="G3891" s="528"/>
    </row>
    <row r="3892" spans="1:7" ht="19.899999999999999" customHeight="1" x14ac:dyDescent="0.2">
      <c r="A3892" s="706" t="s">
        <v>576</v>
      </c>
      <c r="B3892" s="707"/>
      <c r="C3892" s="708" t="s">
        <v>0</v>
      </c>
      <c r="D3892" s="708" t="s">
        <v>1867</v>
      </c>
      <c r="E3892" s="710" t="s">
        <v>24</v>
      </c>
      <c r="F3892" s="712" t="s">
        <v>25</v>
      </c>
      <c r="G3892" s="714" t="s">
        <v>26</v>
      </c>
    </row>
    <row r="3893" spans="1:7" ht="19.899999999999999" customHeight="1" x14ac:dyDescent="0.2">
      <c r="A3893" s="491" t="s">
        <v>577</v>
      </c>
      <c r="B3893" s="491" t="s">
        <v>578</v>
      </c>
      <c r="C3893" s="709"/>
      <c r="D3893" s="709"/>
      <c r="E3893" s="711"/>
      <c r="F3893" s="713"/>
      <c r="G3893" s="715"/>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1016</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1833</v>
      </c>
      <c r="E3898" s="586"/>
      <c r="F3898" s="587" t="str">
        <f ca="1">"$/"&amp;G3832</f>
        <v>$/0</v>
      </c>
      <c r="G3898" s="537">
        <f>SUBTOTAL(9,G3855:G3897)</f>
        <v>0</v>
      </c>
    </row>
    <row r="3899" spans="1:7" ht="19.899999999999999" customHeight="1" x14ac:dyDescent="0.2">
      <c r="A3899" s="533"/>
      <c r="B3899" s="534"/>
      <c r="C3899" s="535"/>
      <c r="D3899" s="535" t="s">
        <v>2043</v>
      </c>
      <c r="E3899" s="536"/>
      <c r="F3899" s="589" t="str">
        <f ca="1">"$/"&amp;G3832</f>
        <v>$/0</v>
      </c>
      <c r="G3899" s="537">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16" t="s">
        <v>31</v>
      </c>
      <c r="B3901" s="717"/>
      <c r="C3901" s="717"/>
      <c r="D3901" s="717"/>
      <c r="E3901" s="717"/>
      <c r="F3901" s="717"/>
      <c r="G3901" s="718"/>
    </row>
    <row r="3902" spans="1:7" ht="19.899999999999999" customHeight="1" x14ac:dyDescent="0.2">
      <c r="A3902" s="516" t="s">
        <v>711</v>
      </c>
      <c r="B3902" s="467" t="str">
        <f>Comitente</f>
        <v>DIRECCIÓN PROVINCIAL DE VIALIDAD</v>
      </c>
      <c r="C3902" s="468"/>
      <c r="D3902" s="469"/>
      <c r="E3902" s="469"/>
      <c r="F3902" s="470"/>
      <c r="G3902" s="517"/>
    </row>
    <row r="3903" spans="1:7" ht="19.899999999999999" customHeight="1" x14ac:dyDescent="0.2">
      <c r="A3903" s="516" t="s">
        <v>712</v>
      </c>
      <c r="B3903" s="467">
        <f>Contratista</f>
        <v>0</v>
      </c>
      <c r="C3903" s="471"/>
      <c r="D3903" s="471"/>
      <c r="E3903" s="471"/>
      <c r="F3903" s="467"/>
      <c r="G3903" s="518"/>
    </row>
    <row r="3904" spans="1:7" ht="19.899999999999999" customHeight="1" x14ac:dyDescent="0.2">
      <c r="A3904" s="516" t="s">
        <v>21</v>
      </c>
      <c r="B3904" s="467" t="str">
        <f>Obra</f>
        <v>OBRA BÁSICA Y PAVIMENTACIÓN CALLE GÜEMES</v>
      </c>
      <c r="C3904" s="471"/>
      <c r="D3904" s="471"/>
      <c r="E3904" s="471"/>
      <c r="F3904" s="467" t="s">
        <v>32</v>
      </c>
      <c r="G3904" s="518">
        <f>Fecha_Base</f>
        <v>0</v>
      </c>
    </row>
    <row r="3905" spans="1:7" ht="19.899999999999999" customHeight="1" x14ac:dyDescent="0.2">
      <c r="A3905" s="519" t="s">
        <v>710</v>
      </c>
      <c r="B3905" s="472" t="str">
        <f>Ubicación</f>
        <v>Rawson - Santa Lucia</v>
      </c>
      <c r="C3905" s="472"/>
      <c r="D3905" s="473"/>
      <c r="E3905" s="474"/>
      <c r="F3905" s="475"/>
      <c r="G3905" s="520"/>
    </row>
    <row r="3906" spans="1:7" ht="19.899999999999999" customHeight="1" x14ac:dyDescent="0.2">
      <c r="A3906" s="519" t="s">
        <v>33</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22</v>
      </c>
      <c r="B3907" s="477" t="str">
        <f>IFERROR(VLOOKUP(COUNTIF($A$1:A3907,"ANALISIS DE PRECIOS"),T_NumeroItem,2,FALSE),"")</f>
        <v/>
      </c>
      <c r="C3907" s="719">
        <f ca="1">IFERROR(VLOOKUP(B3907,T_Computo_Presupuesto,2,FALSE),0)</f>
        <v>0</v>
      </c>
      <c r="D3907" s="719"/>
      <c r="E3907" s="719"/>
      <c r="F3907" s="472" t="s">
        <v>23</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999</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1000</v>
      </c>
      <c r="D3911" s="482" t="s">
        <v>24</v>
      </c>
      <c r="E3911" s="482" t="s">
        <v>1001</v>
      </c>
      <c r="F3911" s="482" t="s">
        <v>1002</v>
      </c>
      <c r="G3911" s="481" t="s">
        <v>1003</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1004</v>
      </c>
      <c r="D3923" s="472" t="s">
        <v>1001</v>
      </c>
      <c r="E3923" s="538">
        <f>SUMPRODUCT(D3912:D3921,E3912:E3921)</f>
        <v>0</v>
      </c>
      <c r="F3923" s="472" t="s">
        <v>1005</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1006</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06" t="s">
        <v>576</v>
      </c>
      <c r="B3927" s="707"/>
      <c r="C3927" s="708" t="s">
        <v>0</v>
      </c>
      <c r="D3927" s="720" t="s">
        <v>1866</v>
      </c>
      <c r="E3927" s="720" t="s">
        <v>1865</v>
      </c>
      <c r="F3927" s="712" t="s">
        <v>1007</v>
      </c>
      <c r="G3927" s="714" t="s">
        <v>26</v>
      </c>
    </row>
    <row r="3928" spans="1:7" ht="19.899999999999999" customHeight="1" x14ac:dyDescent="0.2">
      <c r="A3928" s="491" t="s">
        <v>577</v>
      </c>
      <c r="B3928" s="491" t="s">
        <v>578</v>
      </c>
      <c r="C3928" s="709"/>
      <c r="D3928" s="721"/>
      <c r="E3928" s="711"/>
      <c r="F3928" s="713"/>
      <c r="G3928" s="715"/>
    </row>
    <row r="3929" spans="1:7" ht="19.899999999999999" customHeight="1" x14ac:dyDescent="0.2">
      <c r="A3929" s="527"/>
      <c r="B3929" s="175"/>
      <c r="C3929" s="469" t="s">
        <v>1008</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27</v>
      </c>
      <c r="G3939" s="531">
        <f>SUBTOTAL(9,G3930:G3938)</f>
        <v>0</v>
      </c>
    </row>
    <row r="3940" spans="1:7" ht="19.899999999999999" customHeight="1" x14ac:dyDescent="0.2">
      <c r="A3940" s="527"/>
      <c r="B3940" s="175"/>
      <c r="C3940" s="469" t="s">
        <v>713</v>
      </c>
      <c r="D3940" s="473"/>
      <c r="E3940" s="474"/>
      <c r="F3940" s="475"/>
      <c r="G3940" s="528"/>
    </row>
    <row r="3941" spans="1:7" ht="19.899999999999999" customHeight="1" x14ac:dyDescent="0.2">
      <c r="A3941" s="706" t="s">
        <v>576</v>
      </c>
      <c r="B3941" s="707"/>
      <c r="C3941" s="708" t="s">
        <v>0</v>
      </c>
      <c r="D3941" s="710" t="s">
        <v>24</v>
      </c>
      <c r="E3941" s="710" t="s">
        <v>1832</v>
      </c>
      <c r="F3941" s="712" t="s">
        <v>1007</v>
      </c>
      <c r="G3941" s="714" t="s">
        <v>26</v>
      </c>
    </row>
    <row r="3942" spans="1:7" ht="19.899999999999999" customHeight="1" x14ac:dyDescent="0.2">
      <c r="A3942" s="491" t="s">
        <v>577</v>
      </c>
      <c r="B3942" s="491" t="s">
        <v>578</v>
      </c>
      <c r="C3942" s="709"/>
      <c r="D3942" s="711"/>
      <c r="E3942" s="711"/>
      <c r="F3942" s="713"/>
      <c r="G3942" s="715"/>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28</v>
      </c>
      <c r="G3950" s="532">
        <f>SUBTOTAL(9,G3943:G3949)</f>
        <v>0</v>
      </c>
    </row>
    <row r="3951" spans="1:7" ht="19.899999999999999" customHeight="1" x14ac:dyDescent="0.2">
      <c r="A3951" s="527"/>
      <c r="B3951" s="175"/>
      <c r="C3951" s="469" t="s">
        <v>1014</v>
      </c>
      <c r="D3951" s="473"/>
      <c r="E3951" s="474"/>
      <c r="F3951" s="475"/>
      <c r="G3951" s="528"/>
    </row>
    <row r="3952" spans="1:7" ht="19.899999999999999" customHeight="1" x14ac:dyDescent="0.2">
      <c r="A3952" s="706" t="s">
        <v>576</v>
      </c>
      <c r="B3952" s="707"/>
      <c r="C3952" s="708" t="s">
        <v>0</v>
      </c>
      <c r="D3952" s="708" t="s">
        <v>1867</v>
      </c>
      <c r="E3952" s="710" t="s">
        <v>24</v>
      </c>
      <c r="F3952" s="712" t="s">
        <v>25</v>
      </c>
      <c r="G3952" s="714" t="s">
        <v>26</v>
      </c>
    </row>
    <row r="3953" spans="1:7" ht="19.899999999999999" customHeight="1" x14ac:dyDescent="0.2">
      <c r="A3953" s="491" t="s">
        <v>577</v>
      </c>
      <c r="B3953" s="491" t="s">
        <v>578</v>
      </c>
      <c r="C3953" s="709"/>
      <c r="D3953" s="709"/>
      <c r="E3953" s="711"/>
      <c r="F3953" s="713"/>
      <c r="G3953" s="715"/>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29</v>
      </c>
      <c r="G3965" s="532">
        <f>SUBTOTAL(9,G3954:G3964)</f>
        <v>0</v>
      </c>
    </row>
    <row r="3966" spans="1:7" ht="19.899999999999999" customHeight="1" x14ac:dyDescent="0.2">
      <c r="A3966" s="527"/>
      <c r="B3966" s="175"/>
      <c r="C3966" s="469" t="s">
        <v>1015</v>
      </c>
      <c r="D3966" s="473"/>
      <c r="E3966" s="474"/>
      <c r="F3966" s="475"/>
      <c r="G3966" s="528"/>
    </row>
    <row r="3967" spans="1:7" ht="19.899999999999999" customHeight="1" x14ac:dyDescent="0.2">
      <c r="A3967" s="706" t="s">
        <v>576</v>
      </c>
      <c r="B3967" s="707"/>
      <c r="C3967" s="708" t="s">
        <v>0</v>
      </c>
      <c r="D3967" s="708" t="s">
        <v>1867</v>
      </c>
      <c r="E3967" s="710" t="s">
        <v>24</v>
      </c>
      <c r="F3967" s="712" t="s">
        <v>25</v>
      </c>
      <c r="G3967" s="714" t="s">
        <v>26</v>
      </c>
    </row>
    <row r="3968" spans="1:7" ht="19.899999999999999" customHeight="1" x14ac:dyDescent="0.2">
      <c r="A3968" s="491" t="s">
        <v>577</v>
      </c>
      <c r="B3968" s="491" t="s">
        <v>578</v>
      </c>
      <c r="C3968" s="709"/>
      <c r="D3968" s="709"/>
      <c r="E3968" s="711"/>
      <c r="F3968" s="713"/>
      <c r="G3968" s="715"/>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1016</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1833</v>
      </c>
      <c r="E3973" s="586"/>
      <c r="F3973" s="587" t="str">
        <f ca="1">"$/"&amp;G3907</f>
        <v>$/0</v>
      </c>
      <c r="G3973" s="537">
        <f>SUBTOTAL(9,G3930:G3972)</f>
        <v>0</v>
      </c>
    </row>
    <row r="3974" spans="1:7" ht="19.899999999999999" customHeight="1" x14ac:dyDescent="0.2">
      <c r="A3974" s="533"/>
      <c r="B3974" s="534"/>
      <c r="C3974" s="535"/>
      <c r="D3974" s="535" t="s">
        <v>2043</v>
      </c>
      <c r="E3974" s="536"/>
      <c r="F3974" s="589" t="str">
        <f ca="1">"$/"&amp;G3907</f>
        <v>$/0</v>
      </c>
      <c r="G3974" s="537">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16" t="s">
        <v>31</v>
      </c>
      <c r="B3976" s="717"/>
      <c r="C3976" s="717"/>
      <c r="D3976" s="717"/>
      <c r="E3976" s="717"/>
      <c r="F3976" s="717"/>
      <c r="G3976" s="718"/>
    </row>
    <row r="3977" spans="1:7" ht="19.899999999999999" customHeight="1" x14ac:dyDescent="0.2">
      <c r="A3977" s="516" t="s">
        <v>711</v>
      </c>
      <c r="B3977" s="467" t="str">
        <f>Comitente</f>
        <v>DIRECCIÓN PROVINCIAL DE VIALIDAD</v>
      </c>
      <c r="C3977" s="468"/>
      <c r="D3977" s="469"/>
      <c r="E3977" s="469"/>
      <c r="F3977" s="470"/>
      <c r="G3977" s="517"/>
    </row>
    <row r="3978" spans="1:7" ht="19.899999999999999" customHeight="1" x14ac:dyDescent="0.2">
      <c r="A3978" s="516" t="s">
        <v>712</v>
      </c>
      <c r="B3978" s="467">
        <f>Contratista</f>
        <v>0</v>
      </c>
      <c r="C3978" s="471"/>
      <c r="D3978" s="471"/>
      <c r="E3978" s="471"/>
      <c r="F3978" s="467"/>
      <c r="G3978" s="518"/>
    </row>
    <row r="3979" spans="1:7" ht="19.899999999999999" customHeight="1" x14ac:dyDescent="0.2">
      <c r="A3979" s="516" t="s">
        <v>21</v>
      </c>
      <c r="B3979" s="467" t="str">
        <f>Obra</f>
        <v>OBRA BÁSICA Y PAVIMENTACIÓN CALLE GÜEMES</v>
      </c>
      <c r="C3979" s="471"/>
      <c r="D3979" s="471"/>
      <c r="E3979" s="471"/>
      <c r="F3979" s="467" t="s">
        <v>32</v>
      </c>
      <c r="G3979" s="518">
        <f>Fecha_Base</f>
        <v>0</v>
      </c>
    </row>
    <row r="3980" spans="1:7" ht="19.899999999999999" customHeight="1" x14ac:dyDescent="0.2">
      <c r="A3980" s="519" t="s">
        <v>710</v>
      </c>
      <c r="B3980" s="472" t="str">
        <f>Ubicación</f>
        <v>Rawson - Santa Lucia</v>
      </c>
      <c r="C3980" s="472"/>
      <c r="D3980" s="473"/>
      <c r="E3980" s="474"/>
      <c r="F3980" s="475"/>
      <c r="G3980" s="520"/>
    </row>
    <row r="3981" spans="1:7" ht="19.899999999999999" customHeight="1" x14ac:dyDescent="0.2">
      <c r="A3981" s="519" t="s">
        <v>33</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22</v>
      </c>
      <c r="B3982" s="477" t="str">
        <f>IFERROR(VLOOKUP(COUNTIF($A$1:A3982,"ANALISIS DE PRECIOS"),T_NumeroItem,2,FALSE),"")</f>
        <v/>
      </c>
      <c r="C3982" s="719">
        <f ca="1">IFERROR(VLOOKUP(B3982,T_Computo_Presupuesto,2,FALSE),0)</f>
        <v>0</v>
      </c>
      <c r="D3982" s="719"/>
      <c r="E3982" s="719"/>
      <c r="F3982" s="472" t="s">
        <v>23</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999</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1000</v>
      </c>
      <c r="D3986" s="482" t="s">
        <v>24</v>
      </c>
      <c r="E3986" s="482" t="s">
        <v>1001</v>
      </c>
      <c r="F3986" s="482" t="s">
        <v>1002</v>
      </c>
      <c r="G3986" s="481" t="s">
        <v>1003</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1004</v>
      </c>
      <c r="D3998" s="472" t="s">
        <v>1001</v>
      </c>
      <c r="E3998" s="538">
        <f>SUMPRODUCT(D3987:D3996,E3987:E3996)</f>
        <v>0</v>
      </c>
      <c r="F3998" s="472" t="s">
        <v>1005</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1006</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06" t="s">
        <v>576</v>
      </c>
      <c r="B4002" s="707"/>
      <c r="C4002" s="708" t="s">
        <v>0</v>
      </c>
      <c r="D4002" s="720" t="s">
        <v>1866</v>
      </c>
      <c r="E4002" s="720" t="s">
        <v>1865</v>
      </c>
      <c r="F4002" s="712" t="s">
        <v>1007</v>
      </c>
      <c r="G4002" s="714" t="s">
        <v>26</v>
      </c>
    </row>
    <row r="4003" spans="1:7" ht="19.899999999999999" customHeight="1" x14ac:dyDescent="0.2">
      <c r="A4003" s="491" t="s">
        <v>577</v>
      </c>
      <c r="B4003" s="491" t="s">
        <v>578</v>
      </c>
      <c r="C4003" s="709"/>
      <c r="D4003" s="721"/>
      <c r="E4003" s="711"/>
      <c r="F4003" s="713"/>
      <c r="G4003" s="715"/>
    </row>
    <row r="4004" spans="1:7" ht="19.899999999999999" customHeight="1" x14ac:dyDescent="0.2">
      <c r="A4004" s="527"/>
      <c r="B4004" s="175"/>
      <c r="C4004" s="469" t="s">
        <v>1008</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27</v>
      </c>
      <c r="G4014" s="531">
        <f>SUBTOTAL(9,G4005:G4013)</f>
        <v>0</v>
      </c>
    </row>
    <row r="4015" spans="1:7" ht="19.899999999999999" customHeight="1" x14ac:dyDescent="0.2">
      <c r="A4015" s="527"/>
      <c r="B4015" s="175"/>
      <c r="C4015" s="469" t="s">
        <v>713</v>
      </c>
      <c r="D4015" s="473"/>
      <c r="E4015" s="474"/>
      <c r="F4015" s="475"/>
      <c r="G4015" s="528"/>
    </row>
    <row r="4016" spans="1:7" ht="19.899999999999999" customHeight="1" x14ac:dyDescent="0.2">
      <c r="A4016" s="706" t="s">
        <v>576</v>
      </c>
      <c r="B4016" s="707"/>
      <c r="C4016" s="708" t="s">
        <v>0</v>
      </c>
      <c r="D4016" s="710" t="s">
        <v>24</v>
      </c>
      <c r="E4016" s="710" t="s">
        <v>1832</v>
      </c>
      <c r="F4016" s="712" t="s">
        <v>1007</v>
      </c>
      <c r="G4016" s="714" t="s">
        <v>26</v>
      </c>
    </row>
    <row r="4017" spans="1:7" ht="19.899999999999999" customHeight="1" x14ac:dyDescent="0.2">
      <c r="A4017" s="491" t="s">
        <v>577</v>
      </c>
      <c r="B4017" s="491" t="s">
        <v>578</v>
      </c>
      <c r="C4017" s="709"/>
      <c r="D4017" s="711"/>
      <c r="E4017" s="711"/>
      <c r="F4017" s="713"/>
      <c r="G4017" s="715"/>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28</v>
      </c>
      <c r="G4025" s="532">
        <f>SUBTOTAL(9,G4018:G4024)</f>
        <v>0</v>
      </c>
    </row>
    <row r="4026" spans="1:7" ht="19.899999999999999" customHeight="1" x14ac:dyDescent="0.2">
      <c r="A4026" s="527"/>
      <c r="B4026" s="175"/>
      <c r="C4026" s="469" t="s">
        <v>1014</v>
      </c>
      <c r="D4026" s="473"/>
      <c r="E4026" s="474"/>
      <c r="F4026" s="475"/>
      <c r="G4026" s="528"/>
    </row>
    <row r="4027" spans="1:7" ht="19.899999999999999" customHeight="1" x14ac:dyDescent="0.2">
      <c r="A4027" s="706" t="s">
        <v>576</v>
      </c>
      <c r="B4027" s="707"/>
      <c r="C4027" s="708" t="s">
        <v>0</v>
      </c>
      <c r="D4027" s="708" t="s">
        <v>1867</v>
      </c>
      <c r="E4027" s="710" t="s">
        <v>24</v>
      </c>
      <c r="F4027" s="712" t="s">
        <v>25</v>
      </c>
      <c r="G4027" s="714" t="s">
        <v>26</v>
      </c>
    </row>
    <row r="4028" spans="1:7" ht="19.899999999999999" customHeight="1" x14ac:dyDescent="0.2">
      <c r="A4028" s="491" t="s">
        <v>577</v>
      </c>
      <c r="B4028" s="491" t="s">
        <v>578</v>
      </c>
      <c r="C4028" s="709"/>
      <c r="D4028" s="709"/>
      <c r="E4028" s="711"/>
      <c r="F4028" s="713"/>
      <c r="G4028" s="715"/>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29</v>
      </c>
      <c r="G4040" s="532">
        <f>SUBTOTAL(9,G4029:G4039)</f>
        <v>0</v>
      </c>
    </row>
    <row r="4041" spans="1:7" ht="19.899999999999999" customHeight="1" x14ac:dyDescent="0.2">
      <c r="A4041" s="527"/>
      <c r="B4041" s="175"/>
      <c r="C4041" s="469" t="s">
        <v>1015</v>
      </c>
      <c r="D4041" s="473"/>
      <c r="E4041" s="474"/>
      <c r="F4041" s="475"/>
      <c r="G4041" s="528"/>
    </row>
    <row r="4042" spans="1:7" ht="19.899999999999999" customHeight="1" x14ac:dyDescent="0.2">
      <c r="A4042" s="706" t="s">
        <v>576</v>
      </c>
      <c r="B4042" s="707"/>
      <c r="C4042" s="708" t="s">
        <v>0</v>
      </c>
      <c r="D4042" s="708" t="s">
        <v>1867</v>
      </c>
      <c r="E4042" s="710" t="s">
        <v>24</v>
      </c>
      <c r="F4042" s="712" t="s">
        <v>25</v>
      </c>
      <c r="G4042" s="714" t="s">
        <v>26</v>
      </c>
    </row>
    <row r="4043" spans="1:7" ht="19.899999999999999" customHeight="1" x14ac:dyDescent="0.2">
      <c r="A4043" s="491" t="s">
        <v>577</v>
      </c>
      <c r="B4043" s="491" t="s">
        <v>578</v>
      </c>
      <c r="C4043" s="709"/>
      <c r="D4043" s="709"/>
      <c r="E4043" s="711"/>
      <c r="F4043" s="713"/>
      <c r="G4043" s="715"/>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1016</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1833</v>
      </c>
      <c r="E4048" s="586"/>
      <c r="F4048" s="587" t="str">
        <f ca="1">"$/"&amp;G3982</f>
        <v>$/0</v>
      </c>
      <c r="G4048" s="537">
        <f>SUBTOTAL(9,G4005:G4047)</f>
        <v>0</v>
      </c>
    </row>
    <row r="4049" spans="1:7" ht="19.899999999999999" customHeight="1" x14ac:dyDescent="0.2">
      <c r="A4049" s="533"/>
      <c r="B4049" s="534"/>
      <c r="C4049" s="535"/>
      <c r="D4049" s="535" t="s">
        <v>2043</v>
      </c>
      <c r="E4049" s="536"/>
      <c r="F4049" s="589" t="str">
        <f ca="1">"$/"&amp;G3982</f>
        <v>$/0</v>
      </c>
      <c r="G4049" s="537">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16" t="s">
        <v>31</v>
      </c>
      <c r="B4051" s="717"/>
      <c r="C4051" s="717"/>
      <c r="D4051" s="717"/>
      <c r="E4051" s="717"/>
      <c r="F4051" s="717"/>
      <c r="G4051" s="718"/>
    </row>
    <row r="4052" spans="1:7" ht="19.899999999999999" customHeight="1" x14ac:dyDescent="0.2">
      <c r="A4052" s="516" t="s">
        <v>711</v>
      </c>
      <c r="B4052" s="467" t="str">
        <f>Comitente</f>
        <v>DIRECCIÓN PROVINCIAL DE VIALIDAD</v>
      </c>
      <c r="C4052" s="468"/>
      <c r="D4052" s="469"/>
      <c r="E4052" s="469"/>
      <c r="F4052" s="470"/>
      <c r="G4052" s="517"/>
    </row>
    <row r="4053" spans="1:7" ht="19.899999999999999" customHeight="1" x14ac:dyDescent="0.2">
      <c r="A4053" s="516" t="s">
        <v>712</v>
      </c>
      <c r="B4053" s="467">
        <f>Contratista</f>
        <v>0</v>
      </c>
      <c r="C4053" s="471"/>
      <c r="D4053" s="471"/>
      <c r="E4053" s="471"/>
      <c r="F4053" s="467"/>
      <c r="G4053" s="518"/>
    </row>
    <row r="4054" spans="1:7" ht="19.899999999999999" customHeight="1" x14ac:dyDescent="0.2">
      <c r="A4054" s="516" t="s">
        <v>21</v>
      </c>
      <c r="B4054" s="467" t="str">
        <f>Obra</f>
        <v>OBRA BÁSICA Y PAVIMENTACIÓN CALLE GÜEMES</v>
      </c>
      <c r="C4054" s="471"/>
      <c r="D4054" s="471"/>
      <c r="E4054" s="471"/>
      <c r="F4054" s="467" t="s">
        <v>32</v>
      </c>
      <c r="G4054" s="518">
        <f>Fecha_Base</f>
        <v>0</v>
      </c>
    </row>
    <row r="4055" spans="1:7" ht="19.899999999999999" customHeight="1" x14ac:dyDescent="0.2">
      <c r="A4055" s="519" t="s">
        <v>710</v>
      </c>
      <c r="B4055" s="472" t="str">
        <f>Ubicación</f>
        <v>Rawson - Santa Lucia</v>
      </c>
      <c r="C4055" s="472"/>
      <c r="D4055" s="473"/>
      <c r="E4055" s="474"/>
      <c r="F4055" s="475"/>
      <c r="G4055" s="520"/>
    </row>
    <row r="4056" spans="1:7" ht="19.899999999999999" customHeight="1" x14ac:dyDescent="0.2">
      <c r="A4056" s="519" t="s">
        <v>33</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22</v>
      </c>
      <c r="B4057" s="477" t="str">
        <f>IFERROR(VLOOKUP(COUNTIF($A$1:A4057,"ANALISIS DE PRECIOS"),T_NumeroItem,2,FALSE),"")</f>
        <v/>
      </c>
      <c r="C4057" s="719">
        <f ca="1">IFERROR(VLOOKUP(B4057,T_Computo_Presupuesto,2,FALSE),0)</f>
        <v>0</v>
      </c>
      <c r="D4057" s="719"/>
      <c r="E4057" s="719"/>
      <c r="F4057" s="472" t="s">
        <v>23</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999</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1000</v>
      </c>
      <c r="D4061" s="482" t="s">
        <v>24</v>
      </c>
      <c r="E4061" s="482" t="s">
        <v>1001</v>
      </c>
      <c r="F4061" s="482" t="s">
        <v>1002</v>
      </c>
      <c r="G4061" s="481" t="s">
        <v>1003</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1004</v>
      </c>
      <c r="D4073" s="472" t="s">
        <v>1001</v>
      </c>
      <c r="E4073" s="538">
        <f>SUMPRODUCT(D4062:D4071,E4062:E4071)</f>
        <v>0</v>
      </c>
      <c r="F4073" s="472" t="s">
        <v>1005</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1006</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06" t="s">
        <v>576</v>
      </c>
      <c r="B4077" s="707"/>
      <c r="C4077" s="708" t="s">
        <v>0</v>
      </c>
      <c r="D4077" s="720" t="s">
        <v>1866</v>
      </c>
      <c r="E4077" s="720" t="s">
        <v>1865</v>
      </c>
      <c r="F4077" s="712" t="s">
        <v>1007</v>
      </c>
      <c r="G4077" s="714" t="s">
        <v>26</v>
      </c>
    </row>
    <row r="4078" spans="1:7" ht="19.899999999999999" customHeight="1" x14ac:dyDescent="0.2">
      <c r="A4078" s="491" t="s">
        <v>577</v>
      </c>
      <c r="B4078" s="491" t="s">
        <v>578</v>
      </c>
      <c r="C4078" s="709"/>
      <c r="D4078" s="721"/>
      <c r="E4078" s="711"/>
      <c r="F4078" s="713"/>
      <c r="G4078" s="715"/>
    </row>
    <row r="4079" spans="1:7" ht="19.899999999999999" customHeight="1" x14ac:dyDescent="0.2">
      <c r="A4079" s="527"/>
      <c r="B4079" s="175"/>
      <c r="C4079" s="469" t="s">
        <v>1008</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27</v>
      </c>
      <c r="G4089" s="531">
        <f>SUBTOTAL(9,G4080:G4088)</f>
        <v>0</v>
      </c>
    </row>
    <row r="4090" spans="1:7" ht="19.899999999999999" customHeight="1" x14ac:dyDescent="0.2">
      <c r="A4090" s="527"/>
      <c r="B4090" s="175"/>
      <c r="C4090" s="469" t="s">
        <v>713</v>
      </c>
      <c r="D4090" s="473"/>
      <c r="E4090" s="474"/>
      <c r="F4090" s="475"/>
      <c r="G4090" s="528"/>
    </row>
    <row r="4091" spans="1:7" ht="19.899999999999999" customHeight="1" x14ac:dyDescent="0.2">
      <c r="A4091" s="706" t="s">
        <v>576</v>
      </c>
      <c r="B4091" s="707"/>
      <c r="C4091" s="708" t="s">
        <v>0</v>
      </c>
      <c r="D4091" s="710" t="s">
        <v>24</v>
      </c>
      <c r="E4091" s="710" t="s">
        <v>1832</v>
      </c>
      <c r="F4091" s="712" t="s">
        <v>1007</v>
      </c>
      <c r="G4091" s="714" t="s">
        <v>26</v>
      </c>
    </row>
    <row r="4092" spans="1:7" ht="19.899999999999999" customHeight="1" x14ac:dyDescent="0.2">
      <c r="A4092" s="491" t="s">
        <v>577</v>
      </c>
      <c r="B4092" s="491" t="s">
        <v>578</v>
      </c>
      <c r="C4092" s="709"/>
      <c r="D4092" s="711"/>
      <c r="E4092" s="711"/>
      <c r="F4092" s="713"/>
      <c r="G4092" s="715"/>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28</v>
      </c>
      <c r="G4100" s="532">
        <f>SUBTOTAL(9,G4093:G4099)</f>
        <v>0</v>
      </c>
    </row>
    <row r="4101" spans="1:7" ht="19.899999999999999" customHeight="1" x14ac:dyDescent="0.2">
      <c r="A4101" s="527"/>
      <c r="B4101" s="175"/>
      <c r="C4101" s="469" t="s">
        <v>1014</v>
      </c>
      <c r="D4101" s="473"/>
      <c r="E4101" s="474"/>
      <c r="F4101" s="475"/>
      <c r="G4101" s="528"/>
    </row>
    <row r="4102" spans="1:7" ht="19.899999999999999" customHeight="1" x14ac:dyDescent="0.2">
      <c r="A4102" s="706" t="s">
        <v>576</v>
      </c>
      <c r="B4102" s="707"/>
      <c r="C4102" s="708" t="s">
        <v>0</v>
      </c>
      <c r="D4102" s="708" t="s">
        <v>1867</v>
      </c>
      <c r="E4102" s="710" t="s">
        <v>24</v>
      </c>
      <c r="F4102" s="712" t="s">
        <v>25</v>
      </c>
      <c r="G4102" s="714" t="s">
        <v>26</v>
      </c>
    </row>
    <row r="4103" spans="1:7" ht="19.899999999999999" customHeight="1" x14ac:dyDescent="0.2">
      <c r="A4103" s="491" t="s">
        <v>577</v>
      </c>
      <c r="B4103" s="491" t="s">
        <v>578</v>
      </c>
      <c r="C4103" s="709"/>
      <c r="D4103" s="709"/>
      <c r="E4103" s="711"/>
      <c r="F4103" s="713"/>
      <c r="G4103" s="715"/>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29</v>
      </c>
      <c r="G4115" s="532">
        <f>SUBTOTAL(9,G4104:G4114)</f>
        <v>0</v>
      </c>
    </row>
    <row r="4116" spans="1:7" ht="19.899999999999999" customHeight="1" x14ac:dyDescent="0.2">
      <c r="A4116" s="527"/>
      <c r="B4116" s="175"/>
      <c r="C4116" s="469" t="s">
        <v>1015</v>
      </c>
      <c r="D4116" s="473"/>
      <c r="E4116" s="474"/>
      <c r="F4116" s="475"/>
      <c r="G4116" s="528"/>
    </row>
    <row r="4117" spans="1:7" ht="19.899999999999999" customHeight="1" x14ac:dyDescent="0.2">
      <c r="A4117" s="706" t="s">
        <v>576</v>
      </c>
      <c r="B4117" s="707"/>
      <c r="C4117" s="708" t="s">
        <v>0</v>
      </c>
      <c r="D4117" s="708" t="s">
        <v>1867</v>
      </c>
      <c r="E4117" s="710" t="s">
        <v>24</v>
      </c>
      <c r="F4117" s="712" t="s">
        <v>25</v>
      </c>
      <c r="G4117" s="714" t="s">
        <v>26</v>
      </c>
    </row>
    <row r="4118" spans="1:7" ht="19.899999999999999" customHeight="1" x14ac:dyDescent="0.2">
      <c r="A4118" s="491" t="s">
        <v>577</v>
      </c>
      <c r="B4118" s="491" t="s">
        <v>578</v>
      </c>
      <c r="C4118" s="709"/>
      <c r="D4118" s="709"/>
      <c r="E4118" s="711"/>
      <c r="F4118" s="713"/>
      <c r="G4118" s="715"/>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1016</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1833</v>
      </c>
      <c r="E4123" s="586"/>
      <c r="F4123" s="587" t="str">
        <f ca="1">"$/"&amp;G4057</f>
        <v>$/0</v>
      </c>
      <c r="G4123" s="537">
        <f>SUBTOTAL(9,G4080:G4122)</f>
        <v>0</v>
      </c>
    </row>
    <row r="4124" spans="1:7" ht="19.899999999999999" customHeight="1" x14ac:dyDescent="0.2">
      <c r="A4124" s="533"/>
      <c r="B4124" s="534"/>
      <c r="C4124" s="535"/>
      <c r="D4124" s="535" t="s">
        <v>2043</v>
      </c>
      <c r="E4124" s="536"/>
      <c r="F4124" s="589" t="str">
        <f ca="1">"$/"&amp;G4057</f>
        <v>$/0</v>
      </c>
      <c r="G4124" s="537">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16" t="s">
        <v>31</v>
      </c>
      <c r="B4126" s="717"/>
      <c r="C4126" s="717"/>
      <c r="D4126" s="717"/>
      <c r="E4126" s="717"/>
      <c r="F4126" s="717"/>
      <c r="G4126" s="718"/>
    </row>
    <row r="4127" spans="1:7" ht="19.899999999999999" customHeight="1" x14ac:dyDescent="0.2">
      <c r="A4127" s="516" t="s">
        <v>711</v>
      </c>
      <c r="B4127" s="467" t="str">
        <f>Comitente</f>
        <v>DIRECCIÓN PROVINCIAL DE VIALIDAD</v>
      </c>
      <c r="C4127" s="468"/>
      <c r="D4127" s="469"/>
      <c r="E4127" s="469"/>
      <c r="F4127" s="470"/>
      <c r="G4127" s="517"/>
    </row>
    <row r="4128" spans="1:7" ht="19.899999999999999" customHeight="1" x14ac:dyDescent="0.2">
      <c r="A4128" s="516" t="s">
        <v>712</v>
      </c>
      <c r="B4128" s="467">
        <f>Contratista</f>
        <v>0</v>
      </c>
      <c r="C4128" s="471"/>
      <c r="D4128" s="471"/>
      <c r="E4128" s="471"/>
      <c r="F4128" s="467"/>
      <c r="G4128" s="518"/>
    </row>
    <row r="4129" spans="1:7" ht="19.899999999999999" customHeight="1" x14ac:dyDescent="0.2">
      <c r="A4129" s="516" t="s">
        <v>21</v>
      </c>
      <c r="B4129" s="467" t="str">
        <f>Obra</f>
        <v>OBRA BÁSICA Y PAVIMENTACIÓN CALLE GÜEMES</v>
      </c>
      <c r="C4129" s="471"/>
      <c r="D4129" s="471"/>
      <c r="E4129" s="471"/>
      <c r="F4129" s="467" t="s">
        <v>32</v>
      </c>
      <c r="G4129" s="518">
        <f>Fecha_Base</f>
        <v>0</v>
      </c>
    </row>
    <row r="4130" spans="1:7" ht="19.899999999999999" customHeight="1" x14ac:dyDescent="0.2">
      <c r="A4130" s="519" t="s">
        <v>710</v>
      </c>
      <c r="B4130" s="472" t="str">
        <f>Ubicación</f>
        <v>Rawson - Santa Lucia</v>
      </c>
      <c r="C4130" s="472"/>
      <c r="D4130" s="473"/>
      <c r="E4130" s="474"/>
      <c r="F4130" s="475"/>
      <c r="G4130" s="520"/>
    </row>
    <row r="4131" spans="1:7" ht="19.899999999999999" customHeight="1" x14ac:dyDescent="0.2">
      <c r="A4131" s="519" t="s">
        <v>33</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22</v>
      </c>
      <c r="B4132" s="477" t="str">
        <f>IFERROR(VLOOKUP(COUNTIF($A$1:A4132,"ANALISIS DE PRECIOS"),T_NumeroItem,2,FALSE),"")</f>
        <v/>
      </c>
      <c r="C4132" s="719">
        <f ca="1">IFERROR(VLOOKUP(B4132,T_Computo_Presupuesto,2,FALSE),0)</f>
        <v>0</v>
      </c>
      <c r="D4132" s="719"/>
      <c r="E4132" s="719"/>
      <c r="F4132" s="472" t="s">
        <v>23</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999</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1000</v>
      </c>
      <c r="D4136" s="482" t="s">
        <v>24</v>
      </c>
      <c r="E4136" s="482" t="s">
        <v>1001</v>
      </c>
      <c r="F4136" s="482" t="s">
        <v>1002</v>
      </c>
      <c r="G4136" s="481" t="s">
        <v>1003</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1004</v>
      </c>
      <c r="D4148" s="472" t="s">
        <v>1001</v>
      </c>
      <c r="E4148" s="538">
        <f>SUMPRODUCT(D4137:D4146,E4137:E4146)</f>
        <v>0</v>
      </c>
      <c r="F4148" s="472" t="s">
        <v>1005</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1006</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06" t="s">
        <v>576</v>
      </c>
      <c r="B4152" s="707"/>
      <c r="C4152" s="708" t="s">
        <v>0</v>
      </c>
      <c r="D4152" s="720" t="s">
        <v>1866</v>
      </c>
      <c r="E4152" s="720" t="s">
        <v>1865</v>
      </c>
      <c r="F4152" s="712" t="s">
        <v>1007</v>
      </c>
      <c r="G4152" s="714" t="s">
        <v>26</v>
      </c>
    </row>
    <row r="4153" spans="1:7" ht="19.899999999999999" customHeight="1" x14ac:dyDescent="0.2">
      <c r="A4153" s="491" t="s">
        <v>577</v>
      </c>
      <c r="B4153" s="491" t="s">
        <v>578</v>
      </c>
      <c r="C4153" s="709"/>
      <c r="D4153" s="721"/>
      <c r="E4153" s="711"/>
      <c r="F4153" s="713"/>
      <c r="G4153" s="715"/>
    </row>
    <row r="4154" spans="1:7" ht="19.899999999999999" customHeight="1" x14ac:dyDescent="0.2">
      <c r="A4154" s="527"/>
      <c r="B4154" s="175"/>
      <c r="C4154" s="469" t="s">
        <v>1008</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27</v>
      </c>
      <c r="G4164" s="531">
        <f>SUBTOTAL(9,G4155:G4163)</f>
        <v>0</v>
      </c>
    </row>
    <row r="4165" spans="1:7" ht="19.899999999999999" customHeight="1" x14ac:dyDescent="0.2">
      <c r="A4165" s="527"/>
      <c r="B4165" s="175"/>
      <c r="C4165" s="469" t="s">
        <v>713</v>
      </c>
      <c r="D4165" s="473"/>
      <c r="E4165" s="474"/>
      <c r="F4165" s="475"/>
      <c r="G4165" s="528"/>
    </row>
    <row r="4166" spans="1:7" ht="19.899999999999999" customHeight="1" x14ac:dyDescent="0.2">
      <c r="A4166" s="706" t="s">
        <v>576</v>
      </c>
      <c r="B4166" s="707"/>
      <c r="C4166" s="708" t="s">
        <v>0</v>
      </c>
      <c r="D4166" s="710" t="s">
        <v>24</v>
      </c>
      <c r="E4166" s="710" t="s">
        <v>1832</v>
      </c>
      <c r="F4166" s="712" t="s">
        <v>1007</v>
      </c>
      <c r="G4166" s="714" t="s">
        <v>26</v>
      </c>
    </row>
    <row r="4167" spans="1:7" ht="19.899999999999999" customHeight="1" x14ac:dyDescent="0.2">
      <c r="A4167" s="491" t="s">
        <v>577</v>
      </c>
      <c r="B4167" s="491" t="s">
        <v>578</v>
      </c>
      <c r="C4167" s="709"/>
      <c r="D4167" s="711"/>
      <c r="E4167" s="711"/>
      <c r="F4167" s="713"/>
      <c r="G4167" s="715"/>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28</v>
      </c>
      <c r="G4175" s="532">
        <f>SUBTOTAL(9,G4168:G4174)</f>
        <v>0</v>
      </c>
    </row>
    <row r="4176" spans="1:7" ht="19.899999999999999" customHeight="1" x14ac:dyDescent="0.2">
      <c r="A4176" s="527"/>
      <c r="B4176" s="175"/>
      <c r="C4176" s="469" t="s">
        <v>1014</v>
      </c>
      <c r="D4176" s="473"/>
      <c r="E4176" s="474"/>
      <c r="F4176" s="475"/>
      <c r="G4176" s="528"/>
    </row>
    <row r="4177" spans="1:7" ht="19.899999999999999" customHeight="1" x14ac:dyDescent="0.2">
      <c r="A4177" s="706" t="s">
        <v>576</v>
      </c>
      <c r="B4177" s="707"/>
      <c r="C4177" s="708" t="s">
        <v>0</v>
      </c>
      <c r="D4177" s="708" t="s">
        <v>1867</v>
      </c>
      <c r="E4177" s="710" t="s">
        <v>24</v>
      </c>
      <c r="F4177" s="712" t="s">
        <v>25</v>
      </c>
      <c r="G4177" s="714" t="s">
        <v>26</v>
      </c>
    </row>
    <row r="4178" spans="1:7" ht="19.899999999999999" customHeight="1" x14ac:dyDescent="0.2">
      <c r="A4178" s="491" t="s">
        <v>577</v>
      </c>
      <c r="B4178" s="491" t="s">
        <v>578</v>
      </c>
      <c r="C4178" s="709"/>
      <c r="D4178" s="709"/>
      <c r="E4178" s="711"/>
      <c r="F4178" s="713"/>
      <c r="G4178" s="715"/>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29</v>
      </c>
      <c r="G4190" s="532">
        <f>SUBTOTAL(9,G4179:G4189)</f>
        <v>0</v>
      </c>
    </row>
    <row r="4191" spans="1:7" ht="19.899999999999999" customHeight="1" x14ac:dyDescent="0.2">
      <c r="A4191" s="527"/>
      <c r="B4191" s="175"/>
      <c r="C4191" s="469" t="s">
        <v>1015</v>
      </c>
      <c r="D4191" s="473"/>
      <c r="E4191" s="474"/>
      <c r="F4191" s="475"/>
      <c r="G4191" s="528"/>
    </row>
    <row r="4192" spans="1:7" ht="19.899999999999999" customHeight="1" x14ac:dyDescent="0.2">
      <c r="A4192" s="706" t="s">
        <v>576</v>
      </c>
      <c r="B4192" s="707"/>
      <c r="C4192" s="708" t="s">
        <v>0</v>
      </c>
      <c r="D4192" s="708" t="s">
        <v>1867</v>
      </c>
      <c r="E4192" s="710" t="s">
        <v>24</v>
      </c>
      <c r="F4192" s="712" t="s">
        <v>25</v>
      </c>
      <c r="G4192" s="714" t="s">
        <v>26</v>
      </c>
    </row>
    <row r="4193" spans="1:7" ht="19.899999999999999" customHeight="1" x14ac:dyDescent="0.2">
      <c r="A4193" s="491" t="s">
        <v>577</v>
      </c>
      <c r="B4193" s="491" t="s">
        <v>578</v>
      </c>
      <c r="C4193" s="709"/>
      <c r="D4193" s="709"/>
      <c r="E4193" s="711"/>
      <c r="F4193" s="713"/>
      <c r="G4193" s="715"/>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1016</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1833</v>
      </c>
      <c r="E4198" s="586"/>
      <c r="F4198" s="587" t="str">
        <f ca="1">"$/"&amp;G4132</f>
        <v>$/0</v>
      </c>
      <c r="G4198" s="537">
        <f>SUBTOTAL(9,G4155:G4197)</f>
        <v>0</v>
      </c>
    </row>
    <row r="4199" spans="1:7" ht="19.899999999999999" customHeight="1" x14ac:dyDescent="0.2">
      <c r="A4199" s="533"/>
      <c r="B4199" s="534"/>
      <c r="C4199" s="535"/>
      <c r="D4199" s="535" t="s">
        <v>2043</v>
      </c>
      <c r="E4199" s="536"/>
      <c r="F4199" s="589" t="str">
        <f ca="1">"$/"&amp;G4132</f>
        <v>$/0</v>
      </c>
      <c r="G4199" s="537">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16" t="s">
        <v>31</v>
      </c>
      <c r="B4201" s="717"/>
      <c r="C4201" s="717"/>
      <c r="D4201" s="717"/>
      <c r="E4201" s="717"/>
      <c r="F4201" s="717"/>
      <c r="G4201" s="718"/>
    </row>
    <row r="4202" spans="1:7" ht="19.899999999999999" customHeight="1" x14ac:dyDescent="0.2">
      <c r="A4202" s="516" t="s">
        <v>711</v>
      </c>
      <c r="B4202" s="467" t="str">
        <f>Comitente</f>
        <v>DIRECCIÓN PROVINCIAL DE VIALIDAD</v>
      </c>
      <c r="C4202" s="468"/>
      <c r="D4202" s="469"/>
      <c r="E4202" s="469"/>
      <c r="F4202" s="470"/>
      <c r="G4202" s="517"/>
    </row>
    <row r="4203" spans="1:7" ht="19.899999999999999" customHeight="1" x14ac:dyDescent="0.2">
      <c r="A4203" s="516" t="s">
        <v>712</v>
      </c>
      <c r="B4203" s="467">
        <f>Contratista</f>
        <v>0</v>
      </c>
      <c r="C4203" s="471"/>
      <c r="D4203" s="471"/>
      <c r="E4203" s="471"/>
      <c r="F4203" s="467"/>
      <c r="G4203" s="518"/>
    </row>
    <row r="4204" spans="1:7" ht="19.899999999999999" customHeight="1" x14ac:dyDescent="0.2">
      <c r="A4204" s="516" t="s">
        <v>21</v>
      </c>
      <c r="B4204" s="467" t="str">
        <f>Obra</f>
        <v>OBRA BÁSICA Y PAVIMENTACIÓN CALLE GÜEMES</v>
      </c>
      <c r="C4204" s="471"/>
      <c r="D4204" s="471"/>
      <c r="E4204" s="471"/>
      <c r="F4204" s="467" t="s">
        <v>32</v>
      </c>
      <c r="G4204" s="518">
        <f>Fecha_Base</f>
        <v>0</v>
      </c>
    </row>
    <row r="4205" spans="1:7" ht="19.899999999999999" customHeight="1" x14ac:dyDescent="0.2">
      <c r="A4205" s="519" t="s">
        <v>710</v>
      </c>
      <c r="B4205" s="472" t="str">
        <f>Ubicación</f>
        <v>Rawson - Santa Lucia</v>
      </c>
      <c r="C4205" s="472"/>
      <c r="D4205" s="473"/>
      <c r="E4205" s="474"/>
      <c r="F4205" s="475"/>
      <c r="G4205" s="520"/>
    </row>
    <row r="4206" spans="1:7" ht="19.899999999999999" customHeight="1" x14ac:dyDescent="0.2">
      <c r="A4206" s="519" t="s">
        <v>33</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22</v>
      </c>
      <c r="B4207" s="477" t="str">
        <f>IFERROR(VLOOKUP(COUNTIF($A$1:A4207,"ANALISIS DE PRECIOS"),T_NumeroItem,2,FALSE),"")</f>
        <v/>
      </c>
      <c r="C4207" s="719">
        <f ca="1">IFERROR(VLOOKUP(B4207,T_Computo_Presupuesto,2,FALSE),0)</f>
        <v>0</v>
      </c>
      <c r="D4207" s="719"/>
      <c r="E4207" s="719"/>
      <c r="F4207" s="472" t="s">
        <v>23</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999</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1000</v>
      </c>
      <c r="D4211" s="482" t="s">
        <v>24</v>
      </c>
      <c r="E4211" s="482" t="s">
        <v>1001</v>
      </c>
      <c r="F4211" s="482" t="s">
        <v>1002</v>
      </c>
      <c r="G4211" s="481" t="s">
        <v>1003</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1004</v>
      </c>
      <c r="D4223" s="472" t="s">
        <v>1001</v>
      </c>
      <c r="E4223" s="538">
        <f>SUMPRODUCT(D4212:D4221,E4212:E4221)</f>
        <v>0</v>
      </c>
      <c r="F4223" s="472" t="s">
        <v>1005</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1006</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06" t="s">
        <v>576</v>
      </c>
      <c r="B4227" s="707"/>
      <c r="C4227" s="708" t="s">
        <v>0</v>
      </c>
      <c r="D4227" s="720" t="s">
        <v>1866</v>
      </c>
      <c r="E4227" s="720" t="s">
        <v>1865</v>
      </c>
      <c r="F4227" s="712" t="s">
        <v>1007</v>
      </c>
      <c r="G4227" s="714" t="s">
        <v>26</v>
      </c>
    </row>
    <row r="4228" spans="1:7" ht="19.899999999999999" customHeight="1" x14ac:dyDescent="0.2">
      <c r="A4228" s="491" t="s">
        <v>577</v>
      </c>
      <c r="B4228" s="491" t="s">
        <v>578</v>
      </c>
      <c r="C4228" s="709"/>
      <c r="D4228" s="721"/>
      <c r="E4228" s="711"/>
      <c r="F4228" s="713"/>
      <c r="G4228" s="715"/>
    </row>
    <row r="4229" spans="1:7" ht="19.899999999999999" customHeight="1" x14ac:dyDescent="0.2">
      <c r="A4229" s="527"/>
      <c r="B4229" s="175"/>
      <c r="C4229" s="469" t="s">
        <v>1008</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27</v>
      </c>
      <c r="G4239" s="531">
        <f>SUBTOTAL(9,G4230:G4238)</f>
        <v>0</v>
      </c>
    </row>
    <row r="4240" spans="1:7" ht="19.899999999999999" customHeight="1" x14ac:dyDescent="0.2">
      <c r="A4240" s="527"/>
      <c r="B4240" s="175"/>
      <c r="C4240" s="469" t="s">
        <v>713</v>
      </c>
      <c r="D4240" s="473"/>
      <c r="E4240" s="474"/>
      <c r="F4240" s="475"/>
      <c r="G4240" s="528"/>
    </row>
    <row r="4241" spans="1:7" ht="19.899999999999999" customHeight="1" x14ac:dyDescent="0.2">
      <c r="A4241" s="706" t="s">
        <v>576</v>
      </c>
      <c r="B4241" s="707"/>
      <c r="C4241" s="708" t="s">
        <v>0</v>
      </c>
      <c r="D4241" s="710" t="s">
        <v>24</v>
      </c>
      <c r="E4241" s="710" t="s">
        <v>1832</v>
      </c>
      <c r="F4241" s="712" t="s">
        <v>1007</v>
      </c>
      <c r="G4241" s="714" t="s">
        <v>26</v>
      </c>
    </row>
    <row r="4242" spans="1:7" ht="19.899999999999999" customHeight="1" x14ac:dyDescent="0.2">
      <c r="A4242" s="491" t="s">
        <v>577</v>
      </c>
      <c r="B4242" s="491" t="s">
        <v>578</v>
      </c>
      <c r="C4242" s="709"/>
      <c r="D4242" s="711"/>
      <c r="E4242" s="711"/>
      <c r="F4242" s="713"/>
      <c r="G4242" s="715"/>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28</v>
      </c>
      <c r="G4250" s="532">
        <f>SUBTOTAL(9,G4243:G4249)</f>
        <v>0</v>
      </c>
    </row>
    <row r="4251" spans="1:7" ht="19.899999999999999" customHeight="1" x14ac:dyDescent="0.2">
      <c r="A4251" s="527"/>
      <c r="B4251" s="175"/>
      <c r="C4251" s="469" t="s">
        <v>1014</v>
      </c>
      <c r="D4251" s="473"/>
      <c r="E4251" s="474"/>
      <c r="F4251" s="475"/>
      <c r="G4251" s="528"/>
    </row>
    <row r="4252" spans="1:7" ht="19.899999999999999" customHeight="1" x14ac:dyDescent="0.2">
      <c r="A4252" s="706" t="s">
        <v>576</v>
      </c>
      <c r="B4252" s="707"/>
      <c r="C4252" s="708" t="s">
        <v>0</v>
      </c>
      <c r="D4252" s="708" t="s">
        <v>1867</v>
      </c>
      <c r="E4252" s="710" t="s">
        <v>24</v>
      </c>
      <c r="F4252" s="712" t="s">
        <v>25</v>
      </c>
      <c r="G4252" s="714" t="s">
        <v>26</v>
      </c>
    </row>
    <row r="4253" spans="1:7" ht="19.899999999999999" customHeight="1" x14ac:dyDescent="0.2">
      <c r="A4253" s="491" t="s">
        <v>577</v>
      </c>
      <c r="B4253" s="491" t="s">
        <v>578</v>
      </c>
      <c r="C4253" s="709"/>
      <c r="D4253" s="709"/>
      <c r="E4253" s="711"/>
      <c r="F4253" s="713"/>
      <c r="G4253" s="715"/>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29</v>
      </c>
      <c r="G4265" s="532">
        <f>SUBTOTAL(9,G4254:G4264)</f>
        <v>0</v>
      </c>
    </row>
    <row r="4266" spans="1:7" ht="19.899999999999999" customHeight="1" x14ac:dyDescent="0.2">
      <c r="A4266" s="527"/>
      <c r="B4266" s="175"/>
      <c r="C4266" s="469" t="s">
        <v>1015</v>
      </c>
      <c r="D4266" s="473"/>
      <c r="E4266" s="474"/>
      <c r="F4266" s="475"/>
      <c r="G4266" s="528"/>
    </row>
    <row r="4267" spans="1:7" ht="19.899999999999999" customHeight="1" x14ac:dyDescent="0.2">
      <c r="A4267" s="706" t="s">
        <v>576</v>
      </c>
      <c r="B4267" s="707"/>
      <c r="C4267" s="708" t="s">
        <v>0</v>
      </c>
      <c r="D4267" s="708" t="s">
        <v>1867</v>
      </c>
      <c r="E4267" s="710" t="s">
        <v>24</v>
      </c>
      <c r="F4267" s="712" t="s">
        <v>25</v>
      </c>
      <c r="G4267" s="714" t="s">
        <v>26</v>
      </c>
    </row>
    <row r="4268" spans="1:7" ht="19.899999999999999" customHeight="1" x14ac:dyDescent="0.2">
      <c r="A4268" s="491" t="s">
        <v>577</v>
      </c>
      <c r="B4268" s="491" t="s">
        <v>578</v>
      </c>
      <c r="C4268" s="709"/>
      <c r="D4268" s="709"/>
      <c r="E4268" s="711"/>
      <c r="F4268" s="713"/>
      <c r="G4268" s="715"/>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1016</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1833</v>
      </c>
      <c r="E4273" s="586"/>
      <c r="F4273" s="587" t="str">
        <f ca="1">"$/"&amp;G4207</f>
        <v>$/0</v>
      </c>
      <c r="G4273" s="537">
        <f>SUBTOTAL(9,G4230:G4272)</f>
        <v>0</v>
      </c>
    </row>
    <row r="4274" spans="1:7" ht="19.899999999999999" customHeight="1" x14ac:dyDescent="0.2">
      <c r="A4274" s="533"/>
      <c r="B4274" s="534"/>
      <c r="C4274" s="535"/>
      <c r="D4274" s="535" t="s">
        <v>2043</v>
      </c>
      <c r="E4274" s="536"/>
      <c r="F4274" s="589" t="str">
        <f ca="1">"$/"&amp;G4207</f>
        <v>$/0</v>
      </c>
      <c r="G4274" s="537">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16" t="s">
        <v>31</v>
      </c>
      <c r="B4276" s="717"/>
      <c r="C4276" s="717"/>
      <c r="D4276" s="717"/>
      <c r="E4276" s="717"/>
      <c r="F4276" s="717"/>
      <c r="G4276" s="718"/>
    </row>
    <row r="4277" spans="1:7" ht="19.899999999999999" customHeight="1" x14ac:dyDescent="0.2">
      <c r="A4277" s="516" t="s">
        <v>711</v>
      </c>
      <c r="B4277" s="467" t="str">
        <f>Comitente</f>
        <v>DIRECCIÓN PROVINCIAL DE VIALIDAD</v>
      </c>
      <c r="C4277" s="468"/>
      <c r="D4277" s="469"/>
      <c r="E4277" s="469"/>
      <c r="F4277" s="470"/>
      <c r="G4277" s="517"/>
    </row>
    <row r="4278" spans="1:7" ht="19.899999999999999" customHeight="1" x14ac:dyDescent="0.2">
      <c r="A4278" s="516" t="s">
        <v>712</v>
      </c>
      <c r="B4278" s="467">
        <f>Contratista</f>
        <v>0</v>
      </c>
      <c r="C4278" s="471"/>
      <c r="D4278" s="471"/>
      <c r="E4278" s="471"/>
      <c r="F4278" s="467"/>
      <c r="G4278" s="518"/>
    </row>
    <row r="4279" spans="1:7" ht="19.899999999999999" customHeight="1" x14ac:dyDescent="0.2">
      <c r="A4279" s="516" t="s">
        <v>21</v>
      </c>
      <c r="B4279" s="467" t="str">
        <f>Obra</f>
        <v>OBRA BÁSICA Y PAVIMENTACIÓN CALLE GÜEMES</v>
      </c>
      <c r="C4279" s="471"/>
      <c r="D4279" s="471"/>
      <c r="E4279" s="471"/>
      <c r="F4279" s="467" t="s">
        <v>32</v>
      </c>
      <c r="G4279" s="518">
        <f>Fecha_Base</f>
        <v>0</v>
      </c>
    </row>
    <row r="4280" spans="1:7" ht="19.899999999999999" customHeight="1" x14ac:dyDescent="0.2">
      <c r="A4280" s="519" t="s">
        <v>710</v>
      </c>
      <c r="B4280" s="472" t="str">
        <f>Ubicación</f>
        <v>Rawson - Santa Lucia</v>
      </c>
      <c r="C4280" s="472"/>
      <c r="D4280" s="473"/>
      <c r="E4280" s="474"/>
      <c r="F4280" s="475"/>
      <c r="G4280" s="520"/>
    </row>
    <row r="4281" spans="1:7" ht="19.899999999999999" customHeight="1" x14ac:dyDescent="0.2">
      <c r="A4281" s="519" t="s">
        <v>33</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22</v>
      </c>
      <c r="B4282" s="477" t="str">
        <f>IFERROR(VLOOKUP(COUNTIF($A$1:A4282,"ANALISIS DE PRECIOS"),T_NumeroItem,2,FALSE),"")</f>
        <v/>
      </c>
      <c r="C4282" s="719">
        <f ca="1">IFERROR(VLOOKUP(B4282,T_Computo_Presupuesto,2,FALSE),0)</f>
        <v>0</v>
      </c>
      <c r="D4282" s="719"/>
      <c r="E4282" s="719"/>
      <c r="F4282" s="472" t="s">
        <v>23</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999</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1000</v>
      </c>
      <c r="D4286" s="482" t="s">
        <v>24</v>
      </c>
      <c r="E4286" s="482" t="s">
        <v>1001</v>
      </c>
      <c r="F4286" s="482" t="s">
        <v>1002</v>
      </c>
      <c r="G4286" s="481" t="s">
        <v>1003</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1004</v>
      </c>
      <c r="D4298" s="472" t="s">
        <v>1001</v>
      </c>
      <c r="E4298" s="538">
        <f>SUMPRODUCT(D4287:D4296,E4287:E4296)</f>
        <v>0</v>
      </c>
      <c r="F4298" s="472" t="s">
        <v>1005</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1006</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06" t="s">
        <v>576</v>
      </c>
      <c r="B4302" s="707"/>
      <c r="C4302" s="708" t="s">
        <v>0</v>
      </c>
      <c r="D4302" s="720" t="s">
        <v>1866</v>
      </c>
      <c r="E4302" s="720" t="s">
        <v>1865</v>
      </c>
      <c r="F4302" s="712" t="s">
        <v>1007</v>
      </c>
      <c r="G4302" s="714" t="s">
        <v>26</v>
      </c>
    </row>
    <row r="4303" spans="1:7" ht="19.899999999999999" customHeight="1" x14ac:dyDescent="0.2">
      <c r="A4303" s="491" t="s">
        <v>577</v>
      </c>
      <c r="B4303" s="491" t="s">
        <v>578</v>
      </c>
      <c r="C4303" s="709"/>
      <c r="D4303" s="721"/>
      <c r="E4303" s="711"/>
      <c r="F4303" s="713"/>
      <c r="G4303" s="715"/>
    </row>
    <row r="4304" spans="1:7" ht="19.899999999999999" customHeight="1" x14ac:dyDescent="0.2">
      <c r="A4304" s="527"/>
      <c r="B4304" s="175"/>
      <c r="C4304" s="469" t="s">
        <v>1008</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27</v>
      </c>
      <c r="G4314" s="531">
        <f>SUBTOTAL(9,G4305:G4313)</f>
        <v>0</v>
      </c>
    </row>
    <row r="4315" spans="1:7" ht="19.899999999999999" customHeight="1" x14ac:dyDescent="0.2">
      <c r="A4315" s="527"/>
      <c r="B4315" s="175"/>
      <c r="C4315" s="469" t="s">
        <v>713</v>
      </c>
      <c r="D4315" s="473"/>
      <c r="E4315" s="474"/>
      <c r="F4315" s="475"/>
      <c r="G4315" s="528"/>
    </row>
    <row r="4316" spans="1:7" ht="19.899999999999999" customHeight="1" x14ac:dyDescent="0.2">
      <c r="A4316" s="706" t="s">
        <v>576</v>
      </c>
      <c r="B4316" s="707"/>
      <c r="C4316" s="708" t="s">
        <v>0</v>
      </c>
      <c r="D4316" s="710" t="s">
        <v>24</v>
      </c>
      <c r="E4316" s="710" t="s">
        <v>1832</v>
      </c>
      <c r="F4316" s="712" t="s">
        <v>1007</v>
      </c>
      <c r="G4316" s="714" t="s">
        <v>26</v>
      </c>
    </row>
    <row r="4317" spans="1:7" ht="19.899999999999999" customHeight="1" x14ac:dyDescent="0.2">
      <c r="A4317" s="491" t="s">
        <v>577</v>
      </c>
      <c r="B4317" s="491" t="s">
        <v>578</v>
      </c>
      <c r="C4317" s="709"/>
      <c r="D4317" s="711"/>
      <c r="E4317" s="711"/>
      <c r="F4317" s="713"/>
      <c r="G4317" s="715"/>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28</v>
      </c>
      <c r="G4325" s="532">
        <f>SUBTOTAL(9,G4318:G4324)</f>
        <v>0</v>
      </c>
    </row>
    <row r="4326" spans="1:7" ht="19.899999999999999" customHeight="1" x14ac:dyDescent="0.2">
      <c r="A4326" s="527"/>
      <c r="B4326" s="175"/>
      <c r="C4326" s="469" t="s">
        <v>1014</v>
      </c>
      <c r="D4326" s="473"/>
      <c r="E4326" s="474"/>
      <c r="F4326" s="475"/>
      <c r="G4326" s="528"/>
    </row>
    <row r="4327" spans="1:7" ht="19.899999999999999" customHeight="1" x14ac:dyDescent="0.2">
      <c r="A4327" s="706" t="s">
        <v>576</v>
      </c>
      <c r="B4327" s="707"/>
      <c r="C4327" s="708" t="s">
        <v>0</v>
      </c>
      <c r="D4327" s="708" t="s">
        <v>1867</v>
      </c>
      <c r="E4327" s="710" t="s">
        <v>24</v>
      </c>
      <c r="F4327" s="712" t="s">
        <v>25</v>
      </c>
      <c r="G4327" s="714" t="s">
        <v>26</v>
      </c>
    </row>
    <row r="4328" spans="1:7" ht="19.899999999999999" customHeight="1" x14ac:dyDescent="0.2">
      <c r="A4328" s="491" t="s">
        <v>577</v>
      </c>
      <c r="B4328" s="491" t="s">
        <v>578</v>
      </c>
      <c r="C4328" s="709"/>
      <c r="D4328" s="709"/>
      <c r="E4328" s="711"/>
      <c r="F4328" s="713"/>
      <c r="G4328" s="715"/>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29</v>
      </c>
      <c r="G4340" s="532">
        <f>SUBTOTAL(9,G4329:G4339)</f>
        <v>0</v>
      </c>
    </row>
    <row r="4341" spans="1:7" ht="19.899999999999999" customHeight="1" x14ac:dyDescent="0.2">
      <c r="A4341" s="527"/>
      <c r="B4341" s="175"/>
      <c r="C4341" s="469" t="s">
        <v>1015</v>
      </c>
      <c r="D4341" s="473"/>
      <c r="E4341" s="474"/>
      <c r="F4341" s="475"/>
      <c r="G4341" s="528"/>
    </row>
    <row r="4342" spans="1:7" ht="19.899999999999999" customHeight="1" x14ac:dyDescent="0.2">
      <c r="A4342" s="706" t="s">
        <v>576</v>
      </c>
      <c r="B4342" s="707"/>
      <c r="C4342" s="708" t="s">
        <v>0</v>
      </c>
      <c r="D4342" s="708" t="s">
        <v>1867</v>
      </c>
      <c r="E4342" s="710" t="s">
        <v>24</v>
      </c>
      <c r="F4342" s="712" t="s">
        <v>25</v>
      </c>
      <c r="G4342" s="714" t="s">
        <v>26</v>
      </c>
    </row>
    <row r="4343" spans="1:7" ht="19.899999999999999" customHeight="1" x14ac:dyDescent="0.2">
      <c r="A4343" s="491" t="s">
        <v>577</v>
      </c>
      <c r="B4343" s="491" t="s">
        <v>578</v>
      </c>
      <c r="C4343" s="709"/>
      <c r="D4343" s="709"/>
      <c r="E4343" s="711"/>
      <c r="F4343" s="713"/>
      <c r="G4343" s="715"/>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1016</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1833</v>
      </c>
      <c r="E4348" s="586"/>
      <c r="F4348" s="587" t="str">
        <f ca="1">"$/"&amp;G4282</f>
        <v>$/0</v>
      </c>
      <c r="G4348" s="537">
        <f>SUBTOTAL(9,G4305:G4347)</f>
        <v>0</v>
      </c>
    </row>
    <row r="4349" spans="1:7" ht="19.899999999999999" customHeight="1" x14ac:dyDescent="0.2">
      <c r="A4349" s="533"/>
      <c r="B4349" s="534"/>
      <c r="C4349" s="535"/>
      <c r="D4349" s="535" t="s">
        <v>2043</v>
      </c>
      <c r="E4349" s="536"/>
      <c r="F4349" s="589" t="str">
        <f ca="1">"$/"&amp;G4282</f>
        <v>$/0</v>
      </c>
      <c r="G4349" s="537">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16" t="s">
        <v>31</v>
      </c>
      <c r="B4351" s="717"/>
      <c r="C4351" s="717"/>
      <c r="D4351" s="717"/>
      <c r="E4351" s="717"/>
      <c r="F4351" s="717"/>
      <c r="G4351" s="718"/>
    </row>
    <row r="4352" spans="1:7" ht="19.899999999999999" customHeight="1" x14ac:dyDescent="0.2">
      <c r="A4352" s="516" t="s">
        <v>711</v>
      </c>
      <c r="B4352" s="467" t="str">
        <f>Comitente</f>
        <v>DIRECCIÓN PROVINCIAL DE VIALIDAD</v>
      </c>
      <c r="C4352" s="468"/>
      <c r="D4352" s="469"/>
      <c r="E4352" s="469"/>
      <c r="F4352" s="470"/>
      <c r="G4352" s="517"/>
    </row>
    <row r="4353" spans="1:7" ht="19.899999999999999" customHeight="1" x14ac:dyDescent="0.2">
      <c r="A4353" s="516" t="s">
        <v>712</v>
      </c>
      <c r="B4353" s="467">
        <f>Contratista</f>
        <v>0</v>
      </c>
      <c r="C4353" s="471"/>
      <c r="D4353" s="471"/>
      <c r="E4353" s="471"/>
      <c r="F4353" s="467"/>
      <c r="G4353" s="518"/>
    </row>
    <row r="4354" spans="1:7" ht="19.899999999999999" customHeight="1" x14ac:dyDescent="0.2">
      <c r="A4354" s="516" t="s">
        <v>21</v>
      </c>
      <c r="B4354" s="467" t="str">
        <f>Obra</f>
        <v>OBRA BÁSICA Y PAVIMENTACIÓN CALLE GÜEMES</v>
      </c>
      <c r="C4354" s="471"/>
      <c r="D4354" s="471"/>
      <c r="E4354" s="471"/>
      <c r="F4354" s="467" t="s">
        <v>32</v>
      </c>
      <c r="G4354" s="518">
        <f>Fecha_Base</f>
        <v>0</v>
      </c>
    </row>
    <row r="4355" spans="1:7" ht="19.899999999999999" customHeight="1" x14ac:dyDescent="0.2">
      <c r="A4355" s="519" t="s">
        <v>710</v>
      </c>
      <c r="B4355" s="472" t="str">
        <f>Ubicación</f>
        <v>Rawson - Santa Lucia</v>
      </c>
      <c r="C4355" s="472"/>
      <c r="D4355" s="473"/>
      <c r="E4355" s="474"/>
      <c r="F4355" s="475"/>
      <c r="G4355" s="520"/>
    </row>
    <row r="4356" spans="1:7" ht="19.899999999999999" customHeight="1" x14ac:dyDescent="0.2">
      <c r="A4356" s="519" t="s">
        <v>33</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22</v>
      </c>
      <c r="B4357" s="477" t="str">
        <f>IFERROR(VLOOKUP(COUNTIF($A$1:A4357,"ANALISIS DE PRECIOS"),T_NumeroItem,2,FALSE),"")</f>
        <v/>
      </c>
      <c r="C4357" s="719">
        <f ca="1">IFERROR(VLOOKUP(B4357,T_Computo_Presupuesto,2,FALSE),0)</f>
        <v>0</v>
      </c>
      <c r="D4357" s="719"/>
      <c r="E4357" s="719"/>
      <c r="F4357" s="472" t="s">
        <v>23</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999</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1000</v>
      </c>
      <c r="D4361" s="482" t="s">
        <v>24</v>
      </c>
      <c r="E4361" s="482" t="s">
        <v>1001</v>
      </c>
      <c r="F4361" s="482" t="s">
        <v>1002</v>
      </c>
      <c r="G4361" s="481" t="s">
        <v>1003</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1004</v>
      </c>
      <c r="D4373" s="472" t="s">
        <v>1001</v>
      </c>
      <c r="E4373" s="538">
        <f>SUMPRODUCT(D4362:D4371,E4362:E4371)</f>
        <v>0</v>
      </c>
      <c r="F4373" s="472" t="s">
        <v>1005</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1006</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06" t="s">
        <v>576</v>
      </c>
      <c r="B4377" s="707"/>
      <c r="C4377" s="708" t="s">
        <v>0</v>
      </c>
      <c r="D4377" s="720" t="s">
        <v>1866</v>
      </c>
      <c r="E4377" s="720" t="s">
        <v>1865</v>
      </c>
      <c r="F4377" s="712" t="s">
        <v>1007</v>
      </c>
      <c r="G4377" s="714" t="s">
        <v>26</v>
      </c>
    </row>
    <row r="4378" spans="1:7" ht="19.899999999999999" customHeight="1" x14ac:dyDescent="0.2">
      <c r="A4378" s="491" t="s">
        <v>577</v>
      </c>
      <c r="B4378" s="491" t="s">
        <v>578</v>
      </c>
      <c r="C4378" s="709"/>
      <c r="D4378" s="721"/>
      <c r="E4378" s="711"/>
      <c r="F4378" s="713"/>
      <c r="G4378" s="715"/>
    </row>
    <row r="4379" spans="1:7" ht="19.899999999999999" customHeight="1" x14ac:dyDescent="0.2">
      <c r="A4379" s="527"/>
      <c r="B4379" s="175"/>
      <c r="C4379" s="469" t="s">
        <v>1008</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27</v>
      </c>
      <c r="G4389" s="531">
        <f>SUBTOTAL(9,G4380:G4388)</f>
        <v>0</v>
      </c>
    </row>
    <row r="4390" spans="1:7" ht="19.899999999999999" customHeight="1" x14ac:dyDescent="0.2">
      <c r="A4390" s="527"/>
      <c r="B4390" s="175"/>
      <c r="C4390" s="469" t="s">
        <v>713</v>
      </c>
      <c r="D4390" s="473"/>
      <c r="E4390" s="474"/>
      <c r="F4390" s="475"/>
      <c r="G4390" s="528"/>
    </row>
    <row r="4391" spans="1:7" ht="19.899999999999999" customHeight="1" x14ac:dyDescent="0.2">
      <c r="A4391" s="706" t="s">
        <v>576</v>
      </c>
      <c r="B4391" s="707"/>
      <c r="C4391" s="708" t="s">
        <v>0</v>
      </c>
      <c r="D4391" s="710" t="s">
        <v>24</v>
      </c>
      <c r="E4391" s="710" t="s">
        <v>1832</v>
      </c>
      <c r="F4391" s="712" t="s">
        <v>1007</v>
      </c>
      <c r="G4391" s="714" t="s">
        <v>26</v>
      </c>
    </row>
    <row r="4392" spans="1:7" ht="19.899999999999999" customHeight="1" x14ac:dyDescent="0.2">
      <c r="A4392" s="491" t="s">
        <v>577</v>
      </c>
      <c r="B4392" s="491" t="s">
        <v>578</v>
      </c>
      <c r="C4392" s="709"/>
      <c r="D4392" s="711"/>
      <c r="E4392" s="711"/>
      <c r="F4392" s="713"/>
      <c r="G4392" s="715"/>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28</v>
      </c>
      <c r="G4400" s="532">
        <f>SUBTOTAL(9,G4393:G4399)</f>
        <v>0</v>
      </c>
    </row>
    <row r="4401" spans="1:7" ht="19.899999999999999" customHeight="1" x14ac:dyDescent="0.2">
      <c r="A4401" s="527"/>
      <c r="B4401" s="175"/>
      <c r="C4401" s="469" t="s">
        <v>1014</v>
      </c>
      <c r="D4401" s="473"/>
      <c r="E4401" s="474"/>
      <c r="F4401" s="475"/>
      <c r="G4401" s="528"/>
    </row>
    <row r="4402" spans="1:7" ht="19.899999999999999" customHeight="1" x14ac:dyDescent="0.2">
      <c r="A4402" s="706" t="s">
        <v>576</v>
      </c>
      <c r="B4402" s="707"/>
      <c r="C4402" s="708" t="s">
        <v>0</v>
      </c>
      <c r="D4402" s="708" t="s">
        <v>1867</v>
      </c>
      <c r="E4402" s="710" t="s">
        <v>24</v>
      </c>
      <c r="F4402" s="712" t="s">
        <v>25</v>
      </c>
      <c r="G4402" s="714" t="s">
        <v>26</v>
      </c>
    </row>
    <row r="4403" spans="1:7" ht="19.899999999999999" customHeight="1" x14ac:dyDescent="0.2">
      <c r="A4403" s="491" t="s">
        <v>577</v>
      </c>
      <c r="B4403" s="491" t="s">
        <v>578</v>
      </c>
      <c r="C4403" s="709"/>
      <c r="D4403" s="709"/>
      <c r="E4403" s="711"/>
      <c r="F4403" s="713"/>
      <c r="G4403" s="715"/>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29</v>
      </c>
      <c r="G4415" s="532">
        <f>SUBTOTAL(9,G4404:G4414)</f>
        <v>0</v>
      </c>
    </row>
    <row r="4416" spans="1:7" ht="19.899999999999999" customHeight="1" x14ac:dyDescent="0.2">
      <c r="A4416" s="527"/>
      <c r="B4416" s="175"/>
      <c r="C4416" s="469" t="s">
        <v>1015</v>
      </c>
      <c r="D4416" s="473"/>
      <c r="E4416" s="474"/>
      <c r="F4416" s="475"/>
      <c r="G4416" s="528"/>
    </row>
    <row r="4417" spans="1:7" ht="19.899999999999999" customHeight="1" x14ac:dyDescent="0.2">
      <c r="A4417" s="706" t="s">
        <v>576</v>
      </c>
      <c r="B4417" s="707"/>
      <c r="C4417" s="708" t="s">
        <v>0</v>
      </c>
      <c r="D4417" s="708" t="s">
        <v>1867</v>
      </c>
      <c r="E4417" s="710" t="s">
        <v>24</v>
      </c>
      <c r="F4417" s="712" t="s">
        <v>25</v>
      </c>
      <c r="G4417" s="714" t="s">
        <v>26</v>
      </c>
    </row>
    <row r="4418" spans="1:7" ht="19.899999999999999" customHeight="1" x14ac:dyDescent="0.2">
      <c r="A4418" s="491" t="s">
        <v>577</v>
      </c>
      <c r="B4418" s="491" t="s">
        <v>578</v>
      </c>
      <c r="C4418" s="709"/>
      <c r="D4418" s="709"/>
      <c r="E4418" s="711"/>
      <c r="F4418" s="713"/>
      <c r="G4418" s="715"/>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1016</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1833</v>
      </c>
      <c r="E4423" s="586"/>
      <c r="F4423" s="587" t="str">
        <f ca="1">"$/"&amp;G4357</f>
        <v>$/0</v>
      </c>
      <c r="G4423" s="537">
        <f>SUBTOTAL(9,G4380:G4422)</f>
        <v>0</v>
      </c>
    </row>
    <row r="4424" spans="1:7" ht="19.899999999999999" customHeight="1" x14ac:dyDescent="0.2">
      <c r="A4424" s="533"/>
      <c r="B4424" s="534"/>
      <c r="C4424" s="535"/>
      <c r="D4424" s="535" t="s">
        <v>2043</v>
      </c>
      <c r="E4424" s="536"/>
      <c r="F4424" s="589" t="str">
        <f ca="1">"$/"&amp;G4357</f>
        <v>$/0</v>
      </c>
      <c r="G4424" s="537">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16" t="s">
        <v>31</v>
      </c>
      <c r="B4426" s="717"/>
      <c r="C4426" s="717"/>
      <c r="D4426" s="717"/>
      <c r="E4426" s="717"/>
      <c r="F4426" s="717"/>
      <c r="G4426" s="718"/>
    </row>
    <row r="4427" spans="1:7" ht="19.899999999999999" customHeight="1" x14ac:dyDescent="0.2">
      <c r="A4427" s="516" t="s">
        <v>711</v>
      </c>
      <c r="B4427" s="467" t="str">
        <f>Comitente</f>
        <v>DIRECCIÓN PROVINCIAL DE VIALIDAD</v>
      </c>
      <c r="C4427" s="468"/>
      <c r="D4427" s="469"/>
      <c r="E4427" s="469"/>
      <c r="F4427" s="470"/>
      <c r="G4427" s="517"/>
    </row>
    <row r="4428" spans="1:7" ht="19.899999999999999" customHeight="1" x14ac:dyDescent="0.2">
      <c r="A4428" s="516" t="s">
        <v>712</v>
      </c>
      <c r="B4428" s="467">
        <f>Contratista</f>
        <v>0</v>
      </c>
      <c r="C4428" s="471"/>
      <c r="D4428" s="471"/>
      <c r="E4428" s="471"/>
      <c r="F4428" s="467"/>
      <c r="G4428" s="518"/>
    </row>
    <row r="4429" spans="1:7" ht="19.899999999999999" customHeight="1" x14ac:dyDescent="0.2">
      <c r="A4429" s="516" t="s">
        <v>21</v>
      </c>
      <c r="B4429" s="467" t="str">
        <f>Obra</f>
        <v>OBRA BÁSICA Y PAVIMENTACIÓN CALLE GÜEMES</v>
      </c>
      <c r="C4429" s="471"/>
      <c r="D4429" s="471"/>
      <c r="E4429" s="471"/>
      <c r="F4429" s="467" t="s">
        <v>32</v>
      </c>
      <c r="G4429" s="518">
        <f>Fecha_Base</f>
        <v>0</v>
      </c>
    </row>
    <row r="4430" spans="1:7" ht="19.899999999999999" customHeight="1" x14ac:dyDescent="0.2">
      <c r="A4430" s="519" t="s">
        <v>710</v>
      </c>
      <c r="B4430" s="472" t="str">
        <f>Ubicación</f>
        <v>Rawson - Santa Lucia</v>
      </c>
      <c r="C4430" s="472"/>
      <c r="D4430" s="473"/>
      <c r="E4430" s="474"/>
      <c r="F4430" s="475"/>
      <c r="G4430" s="520"/>
    </row>
    <row r="4431" spans="1:7" ht="19.899999999999999" customHeight="1" x14ac:dyDescent="0.2">
      <c r="A4431" s="519" t="s">
        <v>33</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22</v>
      </c>
      <c r="B4432" s="477" t="str">
        <f>IFERROR(VLOOKUP(COUNTIF($A$1:A4432,"ANALISIS DE PRECIOS"),T_NumeroItem,2,FALSE),"")</f>
        <v/>
      </c>
      <c r="C4432" s="719">
        <f ca="1">IFERROR(VLOOKUP(B4432,T_Computo_Presupuesto,2,FALSE),0)</f>
        <v>0</v>
      </c>
      <c r="D4432" s="719"/>
      <c r="E4432" s="719"/>
      <c r="F4432" s="472" t="s">
        <v>23</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999</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1000</v>
      </c>
      <c r="D4436" s="482" t="s">
        <v>24</v>
      </c>
      <c r="E4436" s="482" t="s">
        <v>1001</v>
      </c>
      <c r="F4436" s="482" t="s">
        <v>1002</v>
      </c>
      <c r="G4436" s="481" t="s">
        <v>1003</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1004</v>
      </c>
      <c r="D4448" s="472" t="s">
        <v>1001</v>
      </c>
      <c r="E4448" s="538">
        <f>SUMPRODUCT(D4437:D4446,E4437:E4446)</f>
        <v>0</v>
      </c>
      <c r="F4448" s="472" t="s">
        <v>1005</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1006</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06" t="s">
        <v>576</v>
      </c>
      <c r="B4452" s="707"/>
      <c r="C4452" s="708" t="s">
        <v>0</v>
      </c>
      <c r="D4452" s="720" t="s">
        <v>1866</v>
      </c>
      <c r="E4452" s="720" t="s">
        <v>1865</v>
      </c>
      <c r="F4452" s="712" t="s">
        <v>1007</v>
      </c>
      <c r="G4452" s="714" t="s">
        <v>26</v>
      </c>
    </row>
    <row r="4453" spans="1:7" ht="19.899999999999999" customHeight="1" x14ac:dyDescent="0.2">
      <c r="A4453" s="491" t="s">
        <v>577</v>
      </c>
      <c r="B4453" s="491" t="s">
        <v>578</v>
      </c>
      <c r="C4453" s="709"/>
      <c r="D4453" s="721"/>
      <c r="E4453" s="711"/>
      <c r="F4453" s="713"/>
      <c r="G4453" s="715"/>
    </row>
    <row r="4454" spans="1:7" ht="19.899999999999999" customHeight="1" x14ac:dyDescent="0.2">
      <c r="A4454" s="527"/>
      <c r="B4454" s="175"/>
      <c r="C4454" s="469" t="s">
        <v>1008</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27</v>
      </c>
      <c r="G4464" s="531">
        <f>SUBTOTAL(9,G4455:G4463)</f>
        <v>0</v>
      </c>
    </row>
    <row r="4465" spans="1:7" ht="19.899999999999999" customHeight="1" x14ac:dyDescent="0.2">
      <c r="A4465" s="527"/>
      <c r="B4465" s="175"/>
      <c r="C4465" s="469" t="s">
        <v>713</v>
      </c>
      <c r="D4465" s="473"/>
      <c r="E4465" s="474"/>
      <c r="F4465" s="475"/>
      <c r="G4465" s="528"/>
    </row>
    <row r="4466" spans="1:7" ht="19.899999999999999" customHeight="1" x14ac:dyDescent="0.2">
      <c r="A4466" s="706" t="s">
        <v>576</v>
      </c>
      <c r="B4466" s="707"/>
      <c r="C4466" s="708" t="s">
        <v>0</v>
      </c>
      <c r="D4466" s="710" t="s">
        <v>24</v>
      </c>
      <c r="E4466" s="710" t="s">
        <v>1832</v>
      </c>
      <c r="F4466" s="712" t="s">
        <v>1007</v>
      </c>
      <c r="G4466" s="714" t="s">
        <v>26</v>
      </c>
    </row>
    <row r="4467" spans="1:7" ht="19.899999999999999" customHeight="1" x14ac:dyDescent="0.2">
      <c r="A4467" s="491" t="s">
        <v>577</v>
      </c>
      <c r="B4467" s="491" t="s">
        <v>578</v>
      </c>
      <c r="C4467" s="709"/>
      <c r="D4467" s="711"/>
      <c r="E4467" s="711"/>
      <c r="F4467" s="713"/>
      <c r="G4467" s="715"/>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28</v>
      </c>
      <c r="G4475" s="532">
        <f>SUBTOTAL(9,G4468:G4474)</f>
        <v>0</v>
      </c>
    </row>
    <row r="4476" spans="1:7" ht="19.899999999999999" customHeight="1" x14ac:dyDescent="0.2">
      <c r="A4476" s="527"/>
      <c r="B4476" s="175"/>
      <c r="C4476" s="469" t="s">
        <v>1014</v>
      </c>
      <c r="D4476" s="473"/>
      <c r="E4476" s="474"/>
      <c r="F4476" s="475"/>
      <c r="G4476" s="528"/>
    </row>
    <row r="4477" spans="1:7" ht="19.899999999999999" customHeight="1" x14ac:dyDescent="0.2">
      <c r="A4477" s="706" t="s">
        <v>576</v>
      </c>
      <c r="B4477" s="707"/>
      <c r="C4477" s="708" t="s">
        <v>0</v>
      </c>
      <c r="D4477" s="708" t="s">
        <v>1867</v>
      </c>
      <c r="E4477" s="710" t="s">
        <v>24</v>
      </c>
      <c r="F4477" s="712" t="s">
        <v>25</v>
      </c>
      <c r="G4477" s="714" t="s">
        <v>26</v>
      </c>
    </row>
    <row r="4478" spans="1:7" ht="19.899999999999999" customHeight="1" x14ac:dyDescent="0.2">
      <c r="A4478" s="491" t="s">
        <v>577</v>
      </c>
      <c r="B4478" s="491" t="s">
        <v>578</v>
      </c>
      <c r="C4478" s="709"/>
      <c r="D4478" s="709"/>
      <c r="E4478" s="711"/>
      <c r="F4478" s="713"/>
      <c r="G4478" s="715"/>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29</v>
      </c>
      <c r="G4490" s="532">
        <f>SUBTOTAL(9,G4479:G4489)</f>
        <v>0</v>
      </c>
    </row>
    <row r="4491" spans="1:7" ht="19.899999999999999" customHeight="1" x14ac:dyDescent="0.2">
      <c r="A4491" s="527"/>
      <c r="B4491" s="175"/>
      <c r="C4491" s="469" t="s">
        <v>1015</v>
      </c>
      <c r="D4491" s="473"/>
      <c r="E4491" s="474"/>
      <c r="F4491" s="475"/>
      <c r="G4491" s="528"/>
    </row>
    <row r="4492" spans="1:7" ht="19.899999999999999" customHeight="1" x14ac:dyDescent="0.2">
      <c r="A4492" s="706" t="s">
        <v>576</v>
      </c>
      <c r="B4492" s="707"/>
      <c r="C4492" s="708" t="s">
        <v>0</v>
      </c>
      <c r="D4492" s="708" t="s">
        <v>1867</v>
      </c>
      <c r="E4492" s="710" t="s">
        <v>24</v>
      </c>
      <c r="F4492" s="712" t="s">
        <v>25</v>
      </c>
      <c r="G4492" s="714" t="s">
        <v>26</v>
      </c>
    </row>
    <row r="4493" spans="1:7" ht="19.899999999999999" customHeight="1" x14ac:dyDescent="0.2">
      <c r="A4493" s="491" t="s">
        <v>577</v>
      </c>
      <c r="B4493" s="491" t="s">
        <v>578</v>
      </c>
      <c r="C4493" s="709"/>
      <c r="D4493" s="709"/>
      <c r="E4493" s="711"/>
      <c r="F4493" s="713"/>
      <c r="G4493" s="715"/>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1016</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1833</v>
      </c>
      <c r="E4498" s="586"/>
      <c r="F4498" s="587" t="str">
        <f ca="1">"$/"&amp;G4432</f>
        <v>$/0</v>
      </c>
      <c r="G4498" s="537">
        <f>SUBTOTAL(9,G4455:G4497)</f>
        <v>0</v>
      </c>
    </row>
    <row r="4499" spans="1:7" ht="19.899999999999999" customHeight="1" x14ac:dyDescent="0.2">
      <c r="A4499" s="533"/>
      <c r="B4499" s="534"/>
      <c r="C4499" s="535"/>
      <c r="D4499" s="535" t="s">
        <v>2043</v>
      </c>
      <c r="E4499" s="536"/>
      <c r="F4499" s="589" t="str">
        <f ca="1">"$/"&amp;G4432</f>
        <v>$/0</v>
      </c>
      <c r="G4499" s="537">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16" t="s">
        <v>31</v>
      </c>
      <c r="B4501" s="717"/>
      <c r="C4501" s="717"/>
      <c r="D4501" s="717"/>
      <c r="E4501" s="717"/>
      <c r="F4501" s="717"/>
      <c r="G4501" s="718"/>
    </row>
    <row r="4502" spans="1:7" ht="19.899999999999999" customHeight="1" x14ac:dyDescent="0.2">
      <c r="A4502" s="516" t="s">
        <v>711</v>
      </c>
      <c r="B4502" s="467" t="str">
        <f>Comitente</f>
        <v>DIRECCIÓN PROVINCIAL DE VIALIDAD</v>
      </c>
      <c r="C4502" s="468"/>
      <c r="D4502" s="469"/>
      <c r="E4502" s="469"/>
      <c r="F4502" s="470"/>
      <c r="G4502" s="517"/>
    </row>
    <row r="4503" spans="1:7" ht="19.899999999999999" customHeight="1" x14ac:dyDescent="0.2">
      <c r="A4503" s="516" t="s">
        <v>712</v>
      </c>
      <c r="B4503" s="467">
        <f>Contratista</f>
        <v>0</v>
      </c>
      <c r="C4503" s="471"/>
      <c r="D4503" s="471"/>
      <c r="E4503" s="471"/>
      <c r="F4503" s="467"/>
      <c r="G4503" s="518"/>
    </row>
    <row r="4504" spans="1:7" ht="19.899999999999999" customHeight="1" x14ac:dyDescent="0.2">
      <c r="A4504" s="516" t="s">
        <v>21</v>
      </c>
      <c r="B4504" s="467" t="str">
        <f>Obra</f>
        <v>OBRA BÁSICA Y PAVIMENTACIÓN CALLE GÜEMES</v>
      </c>
      <c r="C4504" s="471"/>
      <c r="D4504" s="471"/>
      <c r="E4504" s="471"/>
      <c r="F4504" s="467" t="s">
        <v>32</v>
      </c>
      <c r="G4504" s="518">
        <f>Fecha_Base</f>
        <v>0</v>
      </c>
    </row>
    <row r="4505" spans="1:7" ht="19.899999999999999" customHeight="1" x14ac:dyDescent="0.2">
      <c r="A4505" s="519" t="s">
        <v>710</v>
      </c>
      <c r="B4505" s="472" t="str">
        <f>Ubicación</f>
        <v>Rawson - Santa Lucia</v>
      </c>
      <c r="C4505" s="472"/>
      <c r="D4505" s="473"/>
      <c r="E4505" s="474"/>
      <c r="F4505" s="475"/>
      <c r="G4505" s="520"/>
    </row>
    <row r="4506" spans="1:7" ht="19.899999999999999" customHeight="1" x14ac:dyDescent="0.2">
      <c r="A4506" s="519" t="s">
        <v>33</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22</v>
      </c>
      <c r="B4507" s="477" t="str">
        <f>IFERROR(VLOOKUP(COUNTIF($A$1:A4507,"ANALISIS DE PRECIOS"),T_NumeroItem,2,FALSE),"")</f>
        <v/>
      </c>
      <c r="C4507" s="719">
        <f ca="1">IFERROR(VLOOKUP(B4507,T_Computo_Presupuesto,2,FALSE),0)</f>
        <v>0</v>
      </c>
      <c r="D4507" s="719"/>
      <c r="E4507" s="719"/>
      <c r="F4507" s="472" t="s">
        <v>23</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999</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1000</v>
      </c>
      <c r="D4511" s="482" t="s">
        <v>24</v>
      </c>
      <c r="E4511" s="482" t="s">
        <v>1001</v>
      </c>
      <c r="F4511" s="482" t="s">
        <v>1002</v>
      </c>
      <c r="G4511" s="481" t="s">
        <v>1003</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1004</v>
      </c>
      <c r="D4523" s="472" t="s">
        <v>1001</v>
      </c>
      <c r="E4523" s="538">
        <f>SUMPRODUCT(D4512:D4521,E4512:E4521)</f>
        <v>0</v>
      </c>
      <c r="F4523" s="472" t="s">
        <v>1005</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1006</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06" t="s">
        <v>576</v>
      </c>
      <c r="B4527" s="707"/>
      <c r="C4527" s="708" t="s">
        <v>0</v>
      </c>
      <c r="D4527" s="720" t="s">
        <v>1866</v>
      </c>
      <c r="E4527" s="720" t="s">
        <v>1865</v>
      </c>
      <c r="F4527" s="712" t="s">
        <v>1007</v>
      </c>
      <c r="G4527" s="714" t="s">
        <v>26</v>
      </c>
    </row>
    <row r="4528" spans="1:7" ht="19.899999999999999" customHeight="1" x14ac:dyDescent="0.2">
      <c r="A4528" s="491" t="s">
        <v>577</v>
      </c>
      <c r="B4528" s="491" t="s">
        <v>578</v>
      </c>
      <c r="C4528" s="709"/>
      <c r="D4528" s="721"/>
      <c r="E4528" s="711"/>
      <c r="F4528" s="713"/>
      <c r="G4528" s="715"/>
    </row>
    <row r="4529" spans="1:7" ht="19.899999999999999" customHeight="1" x14ac:dyDescent="0.2">
      <c r="A4529" s="527"/>
      <c r="B4529" s="175"/>
      <c r="C4529" s="469" t="s">
        <v>1008</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27</v>
      </c>
      <c r="G4539" s="531">
        <f>SUBTOTAL(9,G4530:G4538)</f>
        <v>0</v>
      </c>
    </row>
    <row r="4540" spans="1:7" ht="19.899999999999999" customHeight="1" x14ac:dyDescent="0.2">
      <c r="A4540" s="527"/>
      <c r="B4540" s="175"/>
      <c r="C4540" s="469" t="s">
        <v>713</v>
      </c>
      <c r="D4540" s="473"/>
      <c r="E4540" s="474"/>
      <c r="F4540" s="475"/>
      <c r="G4540" s="528"/>
    </row>
    <row r="4541" spans="1:7" ht="19.899999999999999" customHeight="1" x14ac:dyDescent="0.2">
      <c r="A4541" s="706" t="s">
        <v>576</v>
      </c>
      <c r="B4541" s="707"/>
      <c r="C4541" s="708" t="s">
        <v>0</v>
      </c>
      <c r="D4541" s="710" t="s">
        <v>24</v>
      </c>
      <c r="E4541" s="710" t="s">
        <v>1832</v>
      </c>
      <c r="F4541" s="712" t="s">
        <v>1007</v>
      </c>
      <c r="G4541" s="714" t="s">
        <v>26</v>
      </c>
    </row>
    <row r="4542" spans="1:7" ht="19.899999999999999" customHeight="1" x14ac:dyDescent="0.2">
      <c r="A4542" s="491" t="s">
        <v>577</v>
      </c>
      <c r="B4542" s="491" t="s">
        <v>578</v>
      </c>
      <c r="C4542" s="709"/>
      <c r="D4542" s="711"/>
      <c r="E4542" s="711"/>
      <c r="F4542" s="713"/>
      <c r="G4542" s="715"/>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28</v>
      </c>
      <c r="G4550" s="532">
        <f>SUBTOTAL(9,G4543:G4549)</f>
        <v>0</v>
      </c>
    </row>
    <row r="4551" spans="1:7" ht="19.899999999999999" customHeight="1" x14ac:dyDescent="0.2">
      <c r="A4551" s="527"/>
      <c r="B4551" s="175"/>
      <c r="C4551" s="469" t="s">
        <v>1014</v>
      </c>
      <c r="D4551" s="473"/>
      <c r="E4551" s="474"/>
      <c r="F4551" s="475"/>
      <c r="G4551" s="528"/>
    </row>
    <row r="4552" spans="1:7" ht="19.899999999999999" customHeight="1" x14ac:dyDescent="0.2">
      <c r="A4552" s="706" t="s">
        <v>576</v>
      </c>
      <c r="B4552" s="707"/>
      <c r="C4552" s="708" t="s">
        <v>0</v>
      </c>
      <c r="D4552" s="708" t="s">
        <v>1867</v>
      </c>
      <c r="E4552" s="710" t="s">
        <v>24</v>
      </c>
      <c r="F4552" s="712" t="s">
        <v>25</v>
      </c>
      <c r="G4552" s="714" t="s">
        <v>26</v>
      </c>
    </row>
    <row r="4553" spans="1:7" ht="19.899999999999999" customHeight="1" x14ac:dyDescent="0.2">
      <c r="A4553" s="491" t="s">
        <v>577</v>
      </c>
      <c r="B4553" s="491" t="s">
        <v>578</v>
      </c>
      <c r="C4553" s="709"/>
      <c r="D4553" s="709"/>
      <c r="E4553" s="711"/>
      <c r="F4553" s="713"/>
      <c r="G4553" s="715"/>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29</v>
      </c>
      <c r="G4565" s="532">
        <f>SUBTOTAL(9,G4554:G4564)</f>
        <v>0</v>
      </c>
    </row>
    <row r="4566" spans="1:7" ht="19.899999999999999" customHeight="1" x14ac:dyDescent="0.2">
      <c r="A4566" s="527"/>
      <c r="B4566" s="175"/>
      <c r="C4566" s="469" t="s">
        <v>1015</v>
      </c>
      <c r="D4566" s="473"/>
      <c r="E4566" s="474"/>
      <c r="F4566" s="475"/>
      <c r="G4566" s="528"/>
    </row>
    <row r="4567" spans="1:7" ht="19.899999999999999" customHeight="1" x14ac:dyDescent="0.2">
      <c r="A4567" s="706" t="s">
        <v>576</v>
      </c>
      <c r="B4567" s="707"/>
      <c r="C4567" s="708" t="s">
        <v>0</v>
      </c>
      <c r="D4567" s="708" t="s">
        <v>1867</v>
      </c>
      <c r="E4567" s="710" t="s">
        <v>24</v>
      </c>
      <c r="F4567" s="712" t="s">
        <v>25</v>
      </c>
      <c r="G4567" s="714" t="s">
        <v>26</v>
      </c>
    </row>
    <row r="4568" spans="1:7" ht="19.899999999999999" customHeight="1" x14ac:dyDescent="0.2">
      <c r="A4568" s="491" t="s">
        <v>577</v>
      </c>
      <c r="B4568" s="491" t="s">
        <v>578</v>
      </c>
      <c r="C4568" s="709"/>
      <c r="D4568" s="709"/>
      <c r="E4568" s="711"/>
      <c r="F4568" s="713"/>
      <c r="G4568" s="715"/>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1016</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1833</v>
      </c>
      <c r="E4573" s="586"/>
      <c r="F4573" s="587" t="str">
        <f ca="1">"$/"&amp;G4507</f>
        <v>$/0</v>
      </c>
      <c r="G4573" s="537">
        <f>SUBTOTAL(9,G4530:G4572)</f>
        <v>0</v>
      </c>
    </row>
    <row r="4574" spans="1:7" ht="19.899999999999999" customHeight="1" x14ac:dyDescent="0.2">
      <c r="A4574" s="533"/>
      <c r="B4574" s="534"/>
      <c r="C4574" s="535"/>
      <c r="D4574" s="535" t="s">
        <v>2043</v>
      </c>
      <c r="E4574" s="536"/>
      <c r="F4574" s="589" t="str">
        <f ca="1">"$/"&amp;G4507</f>
        <v>$/0</v>
      </c>
      <c r="G4574" s="537">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16" t="s">
        <v>31</v>
      </c>
      <c r="B4576" s="717"/>
      <c r="C4576" s="717"/>
      <c r="D4576" s="717"/>
      <c r="E4576" s="717"/>
      <c r="F4576" s="717"/>
      <c r="G4576" s="718"/>
    </row>
    <row r="4577" spans="1:7" ht="19.899999999999999" customHeight="1" x14ac:dyDescent="0.2">
      <c r="A4577" s="516" t="s">
        <v>711</v>
      </c>
      <c r="B4577" s="467" t="str">
        <f>Comitente</f>
        <v>DIRECCIÓN PROVINCIAL DE VIALIDAD</v>
      </c>
      <c r="C4577" s="468"/>
      <c r="D4577" s="469"/>
      <c r="E4577" s="469"/>
      <c r="F4577" s="470"/>
      <c r="G4577" s="517"/>
    </row>
    <row r="4578" spans="1:7" ht="19.899999999999999" customHeight="1" x14ac:dyDescent="0.2">
      <c r="A4578" s="516" t="s">
        <v>712</v>
      </c>
      <c r="B4578" s="467">
        <f>Contratista</f>
        <v>0</v>
      </c>
      <c r="C4578" s="471"/>
      <c r="D4578" s="471"/>
      <c r="E4578" s="471"/>
      <c r="F4578" s="467"/>
      <c r="G4578" s="518"/>
    </row>
    <row r="4579" spans="1:7" ht="19.899999999999999" customHeight="1" x14ac:dyDescent="0.2">
      <c r="A4579" s="516" t="s">
        <v>21</v>
      </c>
      <c r="B4579" s="467" t="str">
        <f>Obra</f>
        <v>OBRA BÁSICA Y PAVIMENTACIÓN CALLE GÜEMES</v>
      </c>
      <c r="C4579" s="471"/>
      <c r="D4579" s="471"/>
      <c r="E4579" s="471"/>
      <c r="F4579" s="467" t="s">
        <v>32</v>
      </c>
      <c r="G4579" s="518">
        <f>Fecha_Base</f>
        <v>0</v>
      </c>
    </row>
    <row r="4580" spans="1:7" ht="19.899999999999999" customHeight="1" x14ac:dyDescent="0.2">
      <c r="A4580" s="519" t="s">
        <v>710</v>
      </c>
      <c r="B4580" s="472" t="str">
        <f>Ubicación</f>
        <v>Rawson - Santa Lucia</v>
      </c>
      <c r="C4580" s="472"/>
      <c r="D4580" s="473"/>
      <c r="E4580" s="474"/>
      <c r="F4580" s="475"/>
      <c r="G4580" s="520"/>
    </row>
    <row r="4581" spans="1:7" ht="19.899999999999999" customHeight="1" x14ac:dyDescent="0.2">
      <c r="A4581" s="519" t="s">
        <v>33</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22</v>
      </c>
      <c r="B4582" s="477" t="str">
        <f>IFERROR(VLOOKUP(COUNTIF($A$1:A4582,"ANALISIS DE PRECIOS"),T_NumeroItem,2,FALSE),"")</f>
        <v/>
      </c>
      <c r="C4582" s="719">
        <f ca="1">IFERROR(VLOOKUP(B4582,T_Computo_Presupuesto,2,FALSE),0)</f>
        <v>0</v>
      </c>
      <c r="D4582" s="719"/>
      <c r="E4582" s="719"/>
      <c r="F4582" s="472" t="s">
        <v>23</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999</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1000</v>
      </c>
      <c r="D4586" s="482" t="s">
        <v>24</v>
      </c>
      <c r="E4586" s="482" t="s">
        <v>1001</v>
      </c>
      <c r="F4586" s="482" t="s">
        <v>1002</v>
      </c>
      <c r="G4586" s="481" t="s">
        <v>1003</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1004</v>
      </c>
      <c r="D4598" s="472" t="s">
        <v>1001</v>
      </c>
      <c r="E4598" s="538">
        <f>SUMPRODUCT(D4587:D4596,E4587:E4596)</f>
        <v>0</v>
      </c>
      <c r="F4598" s="472" t="s">
        <v>1005</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1006</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06" t="s">
        <v>576</v>
      </c>
      <c r="B4602" s="707"/>
      <c r="C4602" s="708" t="s">
        <v>0</v>
      </c>
      <c r="D4602" s="720" t="s">
        <v>1866</v>
      </c>
      <c r="E4602" s="720" t="s">
        <v>1865</v>
      </c>
      <c r="F4602" s="712" t="s">
        <v>1007</v>
      </c>
      <c r="G4602" s="714" t="s">
        <v>26</v>
      </c>
    </row>
    <row r="4603" spans="1:7" ht="19.899999999999999" customHeight="1" x14ac:dyDescent="0.2">
      <c r="A4603" s="491" t="s">
        <v>577</v>
      </c>
      <c r="B4603" s="491" t="s">
        <v>578</v>
      </c>
      <c r="C4603" s="709"/>
      <c r="D4603" s="721"/>
      <c r="E4603" s="711"/>
      <c r="F4603" s="713"/>
      <c r="G4603" s="715"/>
    </row>
    <row r="4604" spans="1:7" ht="19.899999999999999" customHeight="1" x14ac:dyDescent="0.2">
      <c r="A4604" s="527"/>
      <c r="B4604" s="175"/>
      <c r="C4604" s="469" t="s">
        <v>1008</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27</v>
      </c>
      <c r="G4614" s="531">
        <f>SUBTOTAL(9,G4605:G4613)</f>
        <v>0</v>
      </c>
    </row>
    <row r="4615" spans="1:7" ht="19.899999999999999" customHeight="1" x14ac:dyDescent="0.2">
      <c r="A4615" s="527"/>
      <c r="B4615" s="175"/>
      <c r="C4615" s="469" t="s">
        <v>713</v>
      </c>
      <c r="D4615" s="473"/>
      <c r="E4615" s="474"/>
      <c r="F4615" s="475"/>
      <c r="G4615" s="528"/>
    </row>
    <row r="4616" spans="1:7" ht="19.899999999999999" customHeight="1" x14ac:dyDescent="0.2">
      <c r="A4616" s="706" t="s">
        <v>576</v>
      </c>
      <c r="B4616" s="707"/>
      <c r="C4616" s="708" t="s">
        <v>0</v>
      </c>
      <c r="D4616" s="710" t="s">
        <v>24</v>
      </c>
      <c r="E4616" s="710" t="s">
        <v>1832</v>
      </c>
      <c r="F4616" s="712" t="s">
        <v>1007</v>
      </c>
      <c r="G4616" s="714" t="s">
        <v>26</v>
      </c>
    </row>
    <row r="4617" spans="1:7" ht="19.899999999999999" customHeight="1" x14ac:dyDescent="0.2">
      <c r="A4617" s="491" t="s">
        <v>577</v>
      </c>
      <c r="B4617" s="491" t="s">
        <v>578</v>
      </c>
      <c r="C4617" s="709"/>
      <c r="D4617" s="711"/>
      <c r="E4617" s="711"/>
      <c r="F4617" s="713"/>
      <c r="G4617" s="715"/>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28</v>
      </c>
      <c r="G4625" s="532">
        <f>SUBTOTAL(9,G4618:G4624)</f>
        <v>0</v>
      </c>
    </row>
    <row r="4626" spans="1:7" ht="19.899999999999999" customHeight="1" x14ac:dyDescent="0.2">
      <c r="A4626" s="527"/>
      <c r="B4626" s="175"/>
      <c r="C4626" s="469" t="s">
        <v>1014</v>
      </c>
      <c r="D4626" s="473"/>
      <c r="E4626" s="474"/>
      <c r="F4626" s="475"/>
      <c r="G4626" s="528"/>
    </row>
    <row r="4627" spans="1:7" ht="19.899999999999999" customHeight="1" x14ac:dyDescent="0.2">
      <c r="A4627" s="706" t="s">
        <v>576</v>
      </c>
      <c r="B4627" s="707"/>
      <c r="C4627" s="708" t="s">
        <v>0</v>
      </c>
      <c r="D4627" s="708" t="s">
        <v>1867</v>
      </c>
      <c r="E4627" s="710" t="s">
        <v>24</v>
      </c>
      <c r="F4627" s="712" t="s">
        <v>25</v>
      </c>
      <c r="G4627" s="714" t="s">
        <v>26</v>
      </c>
    </row>
    <row r="4628" spans="1:7" ht="19.899999999999999" customHeight="1" x14ac:dyDescent="0.2">
      <c r="A4628" s="491" t="s">
        <v>577</v>
      </c>
      <c r="B4628" s="491" t="s">
        <v>578</v>
      </c>
      <c r="C4628" s="709"/>
      <c r="D4628" s="709"/>
      <c r="E4628" s="711"/>
      <c r="F4628" s="713"/>
      <c r="G4628" s="715"/>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29</v>
      </c>
      <c r="G4640" s="532">
        <f>SUBTOTAL(9,G4629:G4639)</f>
        <v>0</v>
      </c>
    </row>
    <row r="4641" spans="1:7" ht="19.899999999999999" customHeight="1" x14ac:dyDescent="0.2">
      <c r="A4641" s="527"/>
      <c r="B4641" s="175"/>
      <c r="C4641" s="469" t="s">
        <v>1015</v>
      </c>
      <c r="D4641" s="473"/>
      <c r="E4641" s="474"/>
      <c r="F4641" s="475"/>
      <c r="G4641" s="528"/>
    </row>
    <row r="4642" spans="1:7" ht="19.899999999999999" customHeight="1" x14ac:dyDescent="0.2">
      <c r="A4642" s="706" t="s">
        <v>576</v>
      </c>
      <c r="B4642" s="707"/>
      <c r="C4642" s="708" t="s">
        <v>0</v>
      </c>
      <c r="D4642" s="708" t="s">
        <v>1867</v>
      </c>
      <c r="E4642" s="710" t="s">
        <v>24</v>
      </c>
      <c r="F4642" s="712" t="s">
        <v>25</v>
      </c>
      <c r="G4642" s="714" t="s">
        <v>26</v>
      </c>
    </row>
    <row r="4643" spans="1:7" ht="19.899999999999999" customHeight="1" x14ac:dyDescent="0.2">
      <c r="A4643" s="491" t="s">
        <v>577</v>
      </c>
      <c r="B4643" s="491" t="s">
        <v>578</v>
      </c>
      <c r="C4643" s="709"/>
      <c r="D4643" s="709"/>
      <c r="E4643" s="711"/>
      <c r="F4643" s="713"/>
      <c r="G4643" s="715"/>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1016</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1833</v>
      </c>
      <c r="E4648" s="586"/>
      <c r="F4648" s="587" t="str">
        <f ca="1">"$/"&amp;G4582</f>
        <v>$/0</v>
      </c>
      <c r="G4648" s="537">
        <f>SUBTOTAL(9,G4605:G4647)</f>
        <v>0</v>
      </c>
    </row>
    <row r="4649" spans="1:7" ht="19.899999999999999" customHeight="1" x14ac:dyDescent="0.2">
      <c r="A4649" s="533"/>
      <c r="B4649" s="534"/>
      <c r="C4649" s="535"/>
      <c r="D4649" s="535" t="s">
        <v>2043</v>
      </c>
      <c r="E4649" s="536"/>
      <c r="F4649" s="589" t="str">
        <f ca="1">"$/"&amp;G4582</f>
        <v>$/0</v>
      </c>
      <c r="G4649" s="537">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16" t="s">
        <v>31</v>
      </c>
      <c r="B4651" s="717"/>
      <c r="C4651" s="717"/>
      <c r="D4651" s="717"/>
      <c r="E4651" s="717"/>
      <c r="F4651" s="717"/>
      <c r="G4651" s="718"/>
    </row>
    <row r="4652" spans="1:7" ht="19.899999999999999" customHeight="1" x14ac:dyDescent="0.2">
      <c r="A4652" s="516" t="s">
        <v>711</v>
      </c>
      <c r="B4652" s="467" t="str">
        <f>Comitente</f>
        <v>DIRECCIÓN PROVINCIAL DE VIALIDAD</v>
      </c>
      <c r="C4652" s="468"/>
      <c r="D4652" s="469"/>
      <c r="E4652" s="469"/>
      <c r="F4652" s="470"/>
      <c r="G4652" s="517"/>
    </row>
    <row r="4653" spans="1:7" ht="19.899999999999999" customHeight="1" x14ac:dyDescent="0.2">
      <c r="A4653" s="516" t="s">
        <v>712</v>
      </c>
      <c r="B4653" s="467">
        <f>Contratista</f>
        <v>0</v>
      </c>
      <c r="C4653" s="471"/>
      <c r="D4653" s="471"/>
      <c r="E4653" s="471"/>
      <c r="F4653" s="467"/>
      <c r="G4653" s="518"/>
    </row>
    <row r="4654" spans="1:7" ht="19.899999999999999" customHeight="1" x14ac:dyDescent="0.2">
      <c r="A4654" s="516" t="s">
        <v>21</v>
      </c>
      <c r="B4654" s="467" t="str">
        <f>Obra</f>
        <v>OBRA BÁSICA Y PAVIMENTACIÓN CALLE GÜEMES</v>
      </c>
      <c r="C4654" s="471"/>
      <c r="D4654" s="471"/>
      <c r="E4654" s="471"/>
      <c r="F4654" s="467" t="s">
        <v>32</v>
      </c>
      <c r="G4654" s="518">
        <f>Fecha_Base</f>
        <v>0</v>
      </c>
    </row>
    <row r="4655" spans="1:7" ht="19.899999999999999" customHeight="1" x14ac:dyDescent="0.2">
      <c r="A4655" s="519" t="s">
        <v>710</v>
      </c>
      <c r="B4655" s="472" t="str">
        <f>Ubicación</f>
        <v>Rawson - Santa Lucia</v>
      </c>
      <c r="C4655" s="472"/>
      <c r="D4655" s="473"/>
      <c r="E4655" s="474"/>
      <c r="F4655" s="475"/>
      <c r="G4655" s="520"/>
    </row>
    <row r="4656" spans="1:7" ht="19.899999999999999" customHeight="1" x14ac:dyDescent="0.2">
      <c r="A4656" s="519" t="s">
        <v>33</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22</v>
      </c>
      <c r="B4657" s="477" t="str">
        <f>IFERROR(VLOOKUP(COUNTIF($A$1:A4657,"ANALISIS DE PRECIOS"),T_NumeroItem,2,FALSE),"")</f>
        <v/>
      </c>
      <c r="C4657" s="719">
        <f ca="1">IFERROR(VLOOKUP(B4657,T_Computo_Presupuesto,2,FALSE),0)</f>
        <v>0</v>
      </c>
      <c r="D4657" s="719"/>
      <c r="E4657" s="719"/>
      <c r="F4657" s="472" t="s">
        <v>23</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999</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1000</v>
      </c>
      <c r="D4661" s="482" t="s">
        <v>24</v>
      </c>
      <c r="E4661" s="482" t="s">
        <v>1001</v>
      </c>
      <c r="F4661" s="482" t="s">
        <v>1002</v>
      </c>
      <c r="G4661" s="481" t="s">
        <v>1003</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1004</v>
      </c>
      <c r="D4673" s="472" t="s">
        <v>1001</v>
      </c>
      <c r="E4673" s="538">
        <f>SUMPRODUCT(D4662:D4671,E4662:E4671)</f>
        <v>0</v>
      </c>
      <c r="F4673" s="472" t="s">
        <v>1005</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1006</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06" t="s">
        <v>576</v>
      </c>
      <c r="B4677" s="707"/>
      <c r="C4677" s="708" t="s">
        <v>0</v>
      </c>
      <c r="D4677" s="720" t="s">
        <v>1866</v>
      </c>
      <c r="E4677" s="720" t="s">
        <v>1865</v>
      </c>
      <c r="F4677" s="712" t="s">
        <v>1007</v>
      </c>
      <c r="G4677" s="714" t="s">
        <v>26</v>
      </c>
    </row>
    <row r="4678" spans="1:7" ht="19.899999999999999" customHeight="1" x14ac:dyDescent="0.2">
      <c r="A4678" s="491" t="s">
        <v>577</v>
      </c>
      <c r="B4678" s="491" t="s">
        <v>578</v>
      </c>
      <c r="C4678" s="709"/>
      <c r="D4678" s="721"/>
      <c r="E4678" s="711"/>
      <c r="F4678" s="713"/>
      <c r="G4678" s="715"/>
    </row>
    <row r="4679" spans="1:7" ht="19.899999999999999" customHeight="1" x14ac:dyDescent="0.2">
      <c r="A4679" s="527"/>
      <c r="B4679" s="175"/>
      <c r="C4679" s="469" t="s">
        <v>1008</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27</v>
      </c>
      <c r="G4689" s="531">
        <f>SUBTOTAL(9,G4680:G4688)</f>
        <v>0</v>
      </c>
    </row>
    <row r="4690" spans="1:7" ht="19.899999999999999" customHeight="1" x14ac:dyDescent="0.2">
      <c r="A4690" s="527"/>
      <c r="B4690" s="175"/>
      <c r="C4690" s="469" t="s">
        <v>713</v>
      </c>
      <c r="D4690" s="473"/>
      <c r="E4690" s="474"/>
      <c r="F4690" s="475"/>
      <c r="G4690" s="528"/>
    </row>
    <row r="4691" spans="1:7" ht="19.899999999999999" customHeight="1" x14ac:dyDescent="0.2">
      <c r="A4691" s="706" t="s">
        <v>576</v>
      </c>
      <c r="B4691" s="707"/>
      <c r="C4691" s="708" t="s">
        <v>0</v>
      </c>
      <c r="D4691" s="710" t="s">
        <v>24</v>
      </c>
      <c r="E4691" s="710" t="s">
        <v>1832</v>
      </c>
      <c r="F4691" s="712" t="s">
        <v>1007</v>
      </c>
      <c r="G4691" s="714" t="s">
        <v>26</v>
      </c>
    </row>
    <row r="4692" spans="1:7" ht="19.899999999999999" customHeight="1" x14ac:dyDescent="0.2">
      <c r="A4692" s="491" t="s">
        <v>577</v>
      </c>
      <c r="B4692" s="491" t="s">
        <v>578</v>
      </c>
      <c r="C4692" s="709"/>
      <c r="D4692" s="711"/>
      <c r="E4692" s="711"/>
      <c r="F4692" s="713"/>
      <c r="G4692" s="715"/>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28</v>
      </c>
      <c r="G4700" s="532">
        <f>SUBTOTAL(9,G4693:G4699)</f>
        <v>0</v>
      </c>
    </row>
    <row r="4701" spans="1:7" ht="19.899999999999999" customHeight="1" x14ac:dyDescent="0.2">
      <c r="A4701" s="527"/>
      <c r="B4701" s="175"/>
      <c r="C4701" s="469" t="s">
        <v>1014</v>
      </c>
      <c r="D4701" s="473"/>
      <c r="E4701" s="474"/>
      <c r="F4701" s="475"/>
      <c r="G4701" s="528"/>
    </row>
    <row r="4702" spans="1:7" ht="19.899999999999999" customHeight="1" x14ac:dyDescent="0.2">
      <c r="A4702" s="706" t="s">
        <v>576</v>
      </c>
      <c r="B4702" s="707"/>
      <c r="C4702" s="708" t="s">
        <v>0</v>
      </c>
      <c r="D4702" s="708" t="s">
        <v>1867</v>
      </c>
      <c r="E4702" s="710" t="s">
        <v>24</v>
      </c>
      <c r="F4702" s="712" t="s">
        <v>25</v>
      </c>
      <c r="G4702" s="714" t="s">
        <v>26</v>
      </c>
    </row>
    <row r="4703" spans="1:7" ht="19.899999999999999" customHeight="1" x14ac:dyDescent="0.2">
      <c r="A4703" s="491" t="s">
        <v>577</v>
      </c>
      <c r="B4703" s="491" t="s">
        <v>578</v>
      </c>
      <c r="C4703" s="709"/>
      <c r="D4703" s="709"/>
      <c r="E4703" s="711"/>
      <c r="F4703" s="713"/>
      <c r="G4703" s="715"/>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29</v>
      </c>
      <c r="G4715" s="532">
        <f>SUBTOTAL(9,G4704:G4714)</f>
        <v>0</v>
      </c>
    </row>
    <row r="4716" spans="1:7" ht="19.899999999999999" customHeight="1" x14ac:dyDescent="0.2">
      <c r="A4716" s="527"/>
      <c r="B4716" s="175"/>
      <c r="C4716" s="469" t="s">
        <v>1015</v>
      </c>
      <c r="D4716" s="473"/>
      <c r="E4716" s="474"/>
      <c r="F4716" s="475"/>
      <c r="G4716" s="528"/>
    </row>
    <row r="4717" spans="1:7" ht="19.899999999999999" customHeight="1" x14ac:dyDescent="0.2">
      <c r="A4717" s="706" t="s">
        <v>576</v>
      </c>
      <c r="B4717" s="707"/>
      <c r="C4717" s="708" t="s">
        <v>0</v>
      </c>
      <c r="D4717" s="708" t="s">
        <v>1867</v>
      </c>
      <c r="E4717" s="710" t="s">
        <v>24</v>
      </c>
      <c r="F4717" s="712" t="s">
        <v>25</v>
      </c>
      <c r="G4717" s="714" t="s">
        <v>26</v>
      </c>
    </row>
    <row r="4718" spans="1:7" ht="19.899999999999999" customHeight="1" x14ac:dyDescent="0.2">
      <c r="A4718" s="491" t="s">
        <v>577</v>
      </c>
      <c r="B4718" s="491" t="s">
        <v>578</v>
      </c>
      <c r="C4718" s="709"/>
      <c r="D4718" s="709"/>
      <c r="E4718" s="711"/>
      <c r="F4718" s="713"/>
      <c r="G4718" s="715"/>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1016</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1833</v>
      </c>
      <c r="E4723" s="586"/>
      <c r="F4723" s="587" t="str">
        <f ca="1">"$/"&amp;G4657</f>
        <v>$/0</v>
      </c>
      <c r="G4723" s="537">
        <f>SUBTOTAL(9,G4680:G4722)</f>
        <v>0</v>
      </c>
    </row>
    <row r="4724" spans="1:7" ht="19.899999999999999" customHeight="1" x14ac:dyDescent="0.2">
      <c r="A4724" s="533"/>
      <c r="B4724" s="534"/>
      <c r="C4724" s="535"/>
      <c r="D4724" s="535" t="s">
        <v>2043</v>
      </c>
      <c r="E4724" s="536"/>
      <c r="F4724" s="589" t="str">
        <f ca="1">"$/"&amp;G4657</f>
        <v>$/0</v>
      </c>
      <c r="G4724" s="537">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16" t="s">
        <v>31</v>
      </c>
      <c r="B4726" s="717"/>
      <c r="C4726" s="717"/>
      <c r="D4726" s="717"/>
      <c r="E4726" s="717"/>
      <c r="F4726" s="717"/>
      <c r="G4726" s="718"/>
    </row>
    <row r="4727" spans="1:7" ht="19.899999999999999" customHeight="1" x14ac:dyDescent="0.2">
      <c r="A4727" s="516" t="s">
        <v>711</v>
      </c>
      <c r="B4727" s="467" t="str">
        <f>Comitente</f>
        <v>DIRECCIÓN PROVINCIAL DE VIALIDAD</v>
      </c>
      <c r="C4727" s="468"/>
      <c r="D4727" s="469"/>
      <c r="E4727" s="469"/>
      <c r="F4727" s="470"/>
      <c r="G4727" s="517"/>
    </row>
    <row r="4728" spans="1:7" ht="19.899999999999999" customHeight="1" x14ac:dyDescent="0.2">
      <c r="A4728" s="516" t="s">
        <v>712</v>
      </c>
      <c r="B4728" s="467">
        <f>Contratista</f>
        <v>0</v>
      </c>
      <c r="C4728" s="471"/>
      <c r="D4728" s="471"/>
      <c r="E4728" s="471"/>
      <c r="F4728" s="467"/>
      <c r="G4728" s="518"/>
    </row>
    <row r="4729" spans="1:7" ht="19.899999999999999" customHeight="1" x14ac:dyDescent="0.2">
      <c r="A4729" s="516" t="s">
        <v>21</v>
      </c>
      <c r="B4729" s="467" t="str">
        <f>Obra</f>
        <v>OBRA BÁSICA Y PAVIMENTACIÓN CALLE GÜEMES</v>
      </c>
      <c r="C4729" s="471"/>
      <c r="D4729" s="471"/>
      <c r="E4729" s="471"/>
      <c r="F4729" s="467" t="s">
        <v>32</v>
      </c>
      <c r="G4729" s="518">
        <f>Fecha_Base</f>
        <v>0</v>
      </c>
    </row>
    <row r="4730" spans="1:7" ht="19.899999999999999" customHeight="1" x14ac:dyDescent="0.2">
      <c r="A4730" s="519" t="s">
        <v>710</v>
      </c>
      <c r="B4730" s="472" t="str">
        <f>Ubicación</f>
        <v>Rawson - Santa Lucia</v>
      </c>
      <c r="C4730" s="472"/>
      <c r="D4730" s="473"/>
      <c r="E4730" s="474"/>
      <c r="F4730" s="475"/>
      <c r="G4730" s="520"/>
    </row>
    <row r="4731" spans="1:7" ht="19.899999999999999" customHeight="1" x14ac:dyDescent="0.2">
      <c r="A4731" s="519" t="s">
        <v>33</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22</v>
      </c>
      <c r="B4732" s="477" t="str">
        <f>IFERROR(VLOOKUP(COUNTIF($A$1:A4732,"ANALISIS DE PRECIOS"),T_NumeroItem,2,FALSE),"")</f>
        <v/>
      </c>
      <c r="C4732" s="719">
        <f ca="1">IFERROR(VLOOKUP(B4732,T_Computo_Presupuesto,2,FALSE),0)</f>
        <v>0</v>
      </c>
      <c r="D4732" s="719"/>
      <c r="E4732" s="719"/>
      <c r="F4732" s="472" t="s">
        <v>23</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999</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1000</v>
      </c>
      <c r="D4736" s="482" t="s">
        <v>24</v>
      </c>
      <c r="E4736" s="482" t="s">
        <v>1001</v>
      </c>
      <c r="F4736" s="482" t="s">
        <v>1002</v>
      </c>
      <c r="G4736" s="481" t="s">
        <v>1003</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1004</v>
      </c>
      <c r="D4748" s="472" t="s">
        <v>1001</v>
      </c>
      <c r="E4748" s="538">
        <f>SUMPRODUCT(D4737:D4746,E4737:E4746)</f>
        <v>0</v>
      </c>
      <c r="F4748" s="472" t="s">
        <v>1005</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1006</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06" t="s">
        <v>576</v>
      </c>
      <c r="B4752" s="707"/>
      <c r="C4752" s="708" t="s">
        <v>0</v>
      </c>
      <c r="D4752" s="720" t="s">
        <v>1866</v>
      </c>
      <c r="E4752" s="720" t="s">
        <v>1865</v>
      </c>
      <c r="F4752" s="712" t="s">
        <v>1007</v>
      </c>
      <c r="G4752" s="714" t="s">
        <v>26</v>
      </c>
    </row>
    <row r="4753" spans="1:7" ht="19.899999999999999" customHeight="1" x14ac:dyDescent="0.2">
      <c r="A4753" s="491" t="s">
        <v>577</v>
      </c>
      <c r="B4753" s="491" t="s">
        <v>578</v>
      </c>
      <c r="C4753" s="709"/>
      <c r="D4753" s="721"/>
      <c r="E4753" s="711"/>
      <c r="F4753" s="713"/>
      <c r="G4753" s="715"/>
    </row>
    <row r="4754" spans="1:7" ht="19.899999999999999" customHeight="1" x14ac:dyDescent="0.2">
      <c r="A4754" s="527"/>
      <c r="B4754" s="175"/>
      <c r="C4754" s="469" t="s">
        <v>1008</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27</v>
      </c>
      <c r="G4764" s="531">
        <f>SUBTOTAL(9,G4755:G4763)</f>
        <v>0</v>
      </c>
    </row>
    <row r="4765" spans="1:7" ht="19.899999999999999" customHeight="1" x14ac:dyDescent="0.2">
      <c r="A4765" s="527"/>
      <c r="B4765" s="175"/>
      <c r="C4765" s="469" t="s">
        <v>713</v>
      </c>
      <c r="D4765" s="473"/>
      <c r="E4765" s="474"/>
      <c r="F4765" s="475"/>
      <c r="G4765" s="528"/>
    </row>
    <row r="4766" spans="1:7" ht="19.899999999999999" customHeight="1" x14ac:dyDescent="0.2">
      <c r="A4766" s="706" t="s">
        <v>576</v>
      </c>
      <c r="B4766" s="707"/>
      <c r="C4766" s="708" t="s">
        <v>0</v>
      </c>
      <c r="D4766" s="710" t="s">
        <v>24</v>
      </c>
      <c r="E4766" s="710" t="s">
        <v>1832</v>
      </c>
      <c r="F4766" s="712" t="s">
        <v>1007</v>
      </c>
      <c r="G4766" s="714" t="s">
        <v>26</v>
      </c>
    </row>
    <row r="4767" spans="1:7" ht="19.899999999999999" customHeight="1" x14ac:dyDescent="0.2">
      <c r="A4767" s="491" t="s">
        <v>577</v>
      </c>
      <c r="B4767" s="491" t="s">
        <v>578</v>
      </c>
      <c r="C4767" s="709"/>
      <c r="D4767" s="711"/>
      <c r="E4767" s="711"/>
      <c r="F4767" s="713"/>
      <c r="G4767" s="715"/>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28</v>
      </c>
      <c r="G4775" s="532">
        <f>SUBTOTAL(9,G4768:G4774)</f>
        <v>0</v>
      </c>
    </row>
    <row r="4776" spans="1:7" ht="19.899999999999999" customHeight="1" x14ac:dyDescent="0.2">
      <c r="A4776" s="527"/>
      <c r="B4776" s="175"/>
      <c r="C4776" s="469" t="s">
        <v>1014</v>
      </c>
      <c r="D4776" s="473"/>
      <c r="E4776" s="474"/>
      <c r="F4776" s="475"/>
      <c r="G4776" s="528"/>
    </row>
    <row r="4777" spans="1:7" ht="19.899999999999999" customHeight="1" x14ac:dyDescent="0.2">
      <c r="A4777" s="706" t="s">
        <v>576</v>
      </c>
      <c r="B4777" s="707"/>
      <c r="C4777" s="708" t="s">
        <v>0</v>
      </c>
      <c r="D4777" s="708" t="s">
        <v>1867</v>
      </c>
      <c r="E4777" s="710" t="s">
        <v>24</v>
      </c>
      <c r="F4777" s="712" t="s">
        <v>25</v>
      </c>
      <c r="G4777" s="714" t="s">
        <v>26</v>
      </c>
    </row>
    <row r="4778" spans="1:7" ht="19.899999999999999" customHeight="1" x14ac:dyDescent="0.2">
      <c r="A4778" s="491" t="s">
        <v>577</v>
      </c>
      <c r="B4778" s="491" t="s">
        <v>578</v>
      </c>
      <c r="C4778" s="709"/>
      <c r="D4778" s="709"/>
      <c r="E4778" s="711"/>
      <c r="F4778" s="713"/>
      <c r="G4778" s="715"/>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29</v>
      </c>
      <c r="G4790" s="532">
        <f>SUBTOTAL(9,G4779:G4789)</f>
        <v>0</v>
      </c>
    </row>
    <row r="4791" spans="1:7" ht="19.899999999999999" customHeight="1" x14ac:dyDescent="0.2">
      <c r="A4791" s="527"/>
      <c r="B4791" s="175"/>
      <c r="C4791" s="469" t="s">
        <v>1015</v>
      </c>
      <c r="D4791" s="473"/>
      <c r="E4791" s="474"/>
      <c r="F4791" s="475"/>
      <c r="G4791" s="528"/>
    </row>
    <row r="4792" spans="1:7" ht="19.899999999999999" customHeight="1" x14ac:dyDescent="0.2">
      <c r="A4792" s="706" t="s">
        <v>576</v>
      </c>
      <c r="B4792" s="707"/>
      <c r="C4792" s="708" t="s">
        <v>0</v>
      </c>
      <c r="D4792" s="708" t="s">
        <v>1867</v>
      </c>
      <c r="E4792" s="710" t="s">
        <v>24</v>
      </c>
      <c r="F4792" s="712" t="s">
        <v>25</v>
      </c>
      <c r="G4792" s="714" t="s">
        <v>26</v>
      </c>
    </row>
    <row r="4793" spans="1:7" ht="19.899999999999999" customHeight="1" x14ac:dyDescent="0.2">
      <c r="A4793" s="491" t="s">
        <v>577</v>
      </c>
      <c r="B4793" s="491" t="s">
        <v>578</v>
      </c>
      <c r="C4793" s="709"/>
      <c r="D4793" s="709"/>
      <c r="E4793" s="711"/>
      <c r="F4793" s="713"/>
      <c r="G4793" s="715"/>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1016</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1833</v>
      </c>
      <c r="E4798" s="586"/>
      <c r="F4798" s="587" t="str">
        <f ca="1">"$/"&amp;G4732</f>
        <v>$/0</v>
      </c>
      <c r="G4798" s="537">
        <f>SUBTOTAL(9,G4755:G4797)</f>
        <v>0</v>
      </c>
    </row>
    <row r="4799" spans="1:7" ht="19.899999999999999" customHeight="1" x14ac:dyDescent="0.2">
      <c r="A4799" s="533"/>
      <c r="B4799" s="534"/>
      <c r="C4799" s="535"/>
      <c r="D4799" s="535" t="s">
        <v>2043</v>
      </c>
      <c r="E4799" s="536"/>
      <c r="F4799" s="589" t="str">
        <f ca="1">"$/"&amp;G4732</f>
        <v>$/0</v>
      </c>
      <c r="G4799" s="537">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16" t="s">
        <v>31</v>
      </c>
      <c r="B4801" s="717"/>
      <c r="C4801" s="717"/>
      <c r="D4801" s="717"/>
      <c r="E4801" s="717"/>
      <c r="F4801" s="717"/>
      <c r="G4801" s="718"/>
    </row>
    <row r="4802" spans="1:7" ht="19.899999999999999" customHeight="1" x14ac:dyDescent="0.2">
      <c r="A4802" s="516" t="s">
        <v>711</v>
      </c>
      <c r="B4802" s="467" t="str">
        <f>Comitente</f>
        <v>DIRECCIÓN PROVINCIAL DE VIALIDAD</v>
      </c>
      <c r="C4802" s="468"/>
      <c r="D4802" s="469"/>
      <c r="E4802" s="469"/>
      <c r="F4802" s="470"/>
      <c r="G4802" s="517"/>
    </row>
    <row r="4803" spans="1:7" ht="19.899999999999999" customHeight="1" x14ac:dyDescent="0.2">
      <c r="A4803" s="516" t="s">
        <v>712</v>
      </c>
      <c r="B4803" s="467">
        <f>Contratista</f>
        <v>0</v>
      </c>
      <c r="C4803" s="471"/>
      <c r="D4803" s="471"/>
      <c r="E4803" s="471"/>
      <c r="F4803" s="467"/>
      <c r="G4803" s="518"/>
    </row>
    <row r="4804" spans="1:7" ht="19.899999999999999" customHeight="1" x14ac:dyDescent="0.2">
      <c r="A4804" s="516" t="s">
        <v>21</v>
      </c>
      <c r="B4804" s="467" t="str">
        <f>Obra</f>
        <v>OBRA BÁSICA Y PAVIMENTACIÓN CALLE GÜEMES</v>
      </c>
      <c r="C4804" s="471"/>
      <c r="D4804" s="471"/>
      <c r="E4804" s="471"/>
      <c r="F4804" s="467" t="s">
        <v>32</v>
      </c>
      <c r="G4804" s="518">
        <f>Fecha_Base</f>
        <v>0</v>
      </c>
    </row>
    <row r="4805" spans="1:7" ht="19.899999999999999" customHeight="1" x14ac:dyDescent="0.2">
      <c r="A4805" s="519" t="s">
        <v>710</v>
      </c>
      <c r="B4805" s="472" t="str">
        <f>Ubicación</f>
        <v>Rawson - Santa Lucia</v>
      </c>
      <c r="C4805" s="472"/>
      <c r="D4805" s="473"/>
      <c r="E4805" s="474"/>
      <c r="F4805" s="475"/>
      <c r="G4805" s="520"/>
    </row>
    <row r="4806" spans="1:7" ht="19.899999999999999" customHeight="1" x14ac:dyDescent="0.2">
      <c r="A4806" s="519" t="s">
        <v>33</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22</v>
      </c>
      <c r="B4807" s="477" t="str">
        <f>IFERROR(VLOOKUP(COUNTIF($A$1:A4807,"ANALISIS DE PRECIOS"),T_NumeroItem,2,FALSE),"")</f>
        <v/>
      </c>
      <c r="C4807" s="719">
        <f ca="1">IFERROR(VLOOKUP(B4807,T_Computo_Presupuesto,2,FALSE),0)</f>
        <v>0</v>
      </c>
      <c r="D4807" s="719"/>
      <c r="E4807" s="719"/>
      <c r="F4807" s="472" t="s">
        <v>23</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999</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1000</v>
      </c>
      <c r="D4811" s="482" t="s">
        <v>24</v>
      </c>
      <c r="E4811" s="482" t="s">
        <v>1001</v>
      </c>
      <c r="F4811" s="482" t="s">
        <v>1002</v>
      </c>
      <c r="G4811" s="481" t="s">
        <v>1003</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1004</v>
      </c>
      <c r="D4823" s="472" t="s">
        <v>1001</v>
      </c>
      <c r="E4823" s="538">
        <f>SUMPRODUCT(D4812:D4821,E4812:E4821)</f>
        <v>0</v>
      </c>
      <c r="F4823" s="472" t="s">
        <v>1005</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1006</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06" t="s">
        <v>576</v>
      </c>
      <c r="B4827" s="707"/>
      <c r="C4827" s="708" t="s">
        <v>0</v>
      </c>
      <c r="D4827" s="720" t="s">
        <v>1866</v>
      </c>
      <c r="E4827" s="720" t="s">
        <v>1865</v>
      </c>
      <c r="F4827" s="712" t="s">
        <v>1007</v>
      </c>
      <c r="G4827" s="714" t="s">
        <v>26</v>
      </c>
    </row>
    <row r="4828" spans="1:7" ht="19.899999999999999" customHeight="1" x14ac:dyDescent="0.2">
      <c r="A4828" s="491" t="s">
        <v>577</v>
      </c>
      <c r="B4828" s="491" t="s">
        <v>578</v>
      </c>
      <c r="C4828" s="709"/>
      <c r="D4828" s="721"/>
      <c r="E4828" s="711"/>
      <c r="F4828" s="713"/>
      <c r="G4828" s="715"/>
    </row>
    <row r="4829" spans="1:7" ht="19.899999999999999" customHeight="1" x14ac:dyDescent="0.2">
      <c r="A4829" s="527"/>
      <c r="B4829" s="175"/>
      <c r="C4829" s="469" t="s">
        <v>1008</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27</v>
      </c>
      <c r="G4839" s="531">
        <f>SUBTOTAL(9,G4830:G4838)</f>
        <v>0</v>
      </c>
    </row>
    <row r="4840" spans="1:7" ht="19.899999999999999" customHeight="1" x14ac:dyDescent="0.2">
      <c r="A4840" s="527"/>
      <c r="B4840" s="175"/>
      <c r="C4840" s="469" t="s">
        <v>713</v>
      </c>
      <c r="D4840" s="473"/>
      <c r="E4840" s="474"/>
      <c r="F4840" s="475"/>
      <c r="G4840" s="528"/>
    </row>
    <row r="4841" spans="1:7" ht="19.899999999999999" customHeight="1" x14ac:dyDescent="0.2">
      <c r="A4841" s="706" t="s">
        <v>576</v>
      </c>
      <c r="B4841" s="707"/>
      <c r="C4841" s="708" t="s">
        <v>0</v>
      </c>
      <c r="D4841" s="710" t="s">
        <v>24</v>
      </c>
      <c r="E4841" s="710" t="s">
        <v>1832</v>
      </c>
      <c r="F4841" s="712" t="s">
        <v>1007</v>
      </c>
      <c r="G4841" s="714" t="s">
        <v>26</v>
      </c>
    </row>
    <row r="4842" spans="1:7" ht="19.899999999999999" customHeight="1" x14ac:dyDescent="0.2">
      <c r="A4842" s="491" t="s">
        <v>577</v>
      </c>
      <c r="B4842" s="491" t="s">
        <v>578</v>
      </c>
      <c r="C4842" s="709"/>
      <c r="D4842" s="711"/>
      <c r="E4842" s="711"/>
      <c r="F4842" s="713"/>
      <c r="G4842" s="715"/>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28</v>
      </c>
      <c r="G4850" s="532">
        <f>SUBTOTAL(9,G4843:G4849)</f>
        <v>0</v>
      </c>
    </row>
    <row r="4851" spans="1:7" ht="19.899999999999999" customHeight="1" x14ac:dyDescent="0.2">
      <c r="A4851" s="527"/>
      <c r="B4851" s="175"/>
      <c r="C4851" s="469" t="s">
        <v>1014</v>
      </c>
      <c r="D4851" s="473"/>
      <c r="E4851" s="474"/>
      <c r="F4851" s="475"/>
      <c r="G4851" s="528"/>
    </row>
    <row r="4852" spans="1:7" ht="19.899999999999999" customHeight="1" x14ac:dyDescent="0.2">
      <c r="A4852" s="706" t="s">
        <v>576</v>
      </c>
      <c r="B4852" s="707"/>
      <c r="C4852" s="708" t="s">
        <v>0</v>
      </c>
      <c r="D4852" s="708" t="s">
        <v>1867</v>
      </c>
      <c r="E4852" s="710" t="s">
        <v>24</v>
      </c>
      <c r="F4852" s="712" t="s">
        <v>25</v>
      </c>
      <c r="G4852" s="714" t="s">
        <v>26</v>
      </c>
    </row>
    <row r="4853" spans="1:7" ht="19.899999999999999" customHeight="1" x14ac:dyDescent="0.2">
      <c r="A4853" s="491" t="s">
        <v>577</v>
      </c>
      <c r="B4853" s="491" t="s">
        <v>578</v>
      </c>
      <c r="C4853" s="709"/>
      <c r="D4853" s="709"/>
      <c r="E4853" s="711"/>
      <c r="F4853" s="713"/>
      <c r="G4853" s="715"/>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29</v>
      </c>
      <c r="G4865" s="532">
        <f>SUBTOTAL(9,G4854:G4864)</f>
        <v>0</v>
      </c>
    </row>
    <row r="4866" spans="1:7" ht="19.899999999999999" customHeight="1" x14ac:dyDescent="0.2">
      <c r="A4866" s="527"/>
      <c r="B4866" s="175"/>
      <c r="C4866" s="469" t="s">
        <v>1015</v>
      </c>
      <c r="D4866" s="473"/>
      <c r="E4866" s="474"/>
      <c r="F4866" s="475"/>
      <c r="G4866" s="528"/>
    </row>
    <row r="4867" spans="1:7" ht="19.899999999999999" customHeight="1" x14ac:dyDescent="0.2">
      <c r="A4867" s="706" t="s">
        <v>576</v>
      </c>
      <c r="B4867" s="707"/>
      <c r="C4867" s="708" t="s">
        <v>0</v>
      </c>
      <c r="D4867" s="708" t="s">
        <v>1867</v>
      </c>
      <c r="E4867" s="710" t="s">
        <v>24</v>
      </c>
      <c r="F4867" s="712" t="s">
        <v>25</v>
      </c>
      <c r="G4867" s="714" t="s">
        <v>26</v>
      </c>
    </row>
    <row r="4868" spans="1:7" ht="19.899999999999999" customHeight="1" x14ac:dyDescent="0.2">
      <c r="A4868" s="491" t="s">
        <v>577</v>
      </c>
      <c r="B4868" s="491" t="s">
        <v>578</v>
      </c>
      <c r="C4868" s="709"/>
      <c r="D4868" s="709"/>
      <c r="E4868" s="711"/>
      <c r="F4868" s="713"/>
      <c r="G4868" s="715"/>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1016</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1833</v>
      </c>
      <c r="E4873" s="586"/>
      <c r="F4873" s="587" t="str">
        <f ca="1">"$/"&amp;G4807</f>
        <v>$/0</v>
      </c>
      <c r="G4873" s="537">
        <f>SUBTOTAL(9,G4830:G4872)</f>
        <v>0</v>
      </c>
    </row>
    <row r="4874" spans="1:7" ht="19.899999999999999" customHeight="1" x14ac:dyDescent="0.2">
      <c r="A4874" s="533"/>
      <c r="B4874" s="534"/>
      <c r="C4874" s="535"/>
      <c r="D4874" s="535" t="s">
        <v>2043</v>
      </c>
      <c r="E4874" s="536"/>
      <c r="F4874" s="589" t="str">
        <f ca="1">"$/"&amp;G4807</f>
        <v>$/0</v>
      </c>
      <c r="G4874" s="537">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16" t="s">
        <v>31</v>
      </c>
      <c r="B4876" s="717"/>
      <c r="C4876" s="717"/>
      <c r="D4876" s="717"/>
      <c r="E4876" s="717"/>
      <c r="F4876" s="717"/>
      <c r="G4876" s="718"/>
    </row>
    <row r="4877" spans="1:7" ht="19.899999999999999" customHeight="1" x14ac:dyDescent="0.2">
      <c r="A4877" s="516" t="s">
        <v>711</v>
      </c>
      <c r="B4877" s="467" t="str">
        <f>Comitente</f>
        <v>DIRECCIÓN PROVINCIAL DE VIALIDAD</v>
      </c>
      <c r="C4877" s="468"/>
      <c r="D4877" s="469"/>
      <c r="E4877" s="469"/>
      <c r="F4877" s="470"/>
      <c r="G4877" s="517"/>
    </row>
    <row r="4878" spans="1:7" ht="19.899999999999999" customHeight="1" x14ac:dyDescent="0.2">
      <c r="A4878" s="516" t="s">
        <v>712</v>
      </c>
      <c r="B4878" s="467">
        <f>Contratista</f>
        <v>0</v>
      </c>
      <c r="C4878" s="471"/>
      <c r="D4878" s="471"/>
      <c r="E4878" s="471"/>
      <c r="F4878" s="467"/>
      <c r="G4878" s="518"/>
    </row>
    <row r="4879" spans="1:7" ht="19.899999999999999" customHeight="1" x14ac:dyDescent="0.2">
      <c r="A4879" s="516" t="s">
        <v>21</v>
      </c>
      <c r="B4879" s="467" t="str">
        <f>Obra</f>
        <v>OBRA BÁSICA Y PAVIMENTACIÓN CALLE GÜEMES</v>
      </c>
      <c r="C4879" s="471"/>
      <c r="D4879" s="471"/>
      <c r="E4879" s="471"/>
      <c r="F4879" s="467" t="s">
        <v>32</v>
      </c>
      <c r="G4879" s="518">
        <f>Fecha_Base</f>
        <v>0</v>
      </c>
    </row>
    <row r="4880" spans="1:7" ht="19.899999999999999" customHeight="1" x14ac:dyDescent="0.2">
      <c r="A4880" s="519" t="s">
        <v>710</v>
      </c>
      <c r="B4880" s="472" t="str">
        <f>Ubicación</f>
        <v>Rawson - Santa Lucia</v>
      </c>
      <c r="C4880" s="472"/>
      <c r="D4880" s="473"/>
      <c r="E4880" s="474"/>
      <c r="F4880" s="475"/>
      <c r="G4880" s="520"/>
    </row>
    <row r="4881" spans="1:7" ht="19.899999999999999" customHeight="1" x14ac:dyDescent="0.2">
      <c r="A4881" s="519" t="s">
        <v>33</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22</v>
      </c>
      <c r="B4882" s="477" t="str">
        <f>IFERROR(VLOOKUP(COUNTIF($A$1:A4882,"ANALISIS DE PRECIOS"),T_NumeroItem,2,FALSE),"")</f>
        <v/>
      </c>
      <c r="C4882" s="719">
        <f ca="1">IFERROR(VLOOKUP(B4882,T_Computo_Presupuesto,2,FALSE),0)</f>
        <v>0</v>
      </c>
      <c r="D4882" s="719"/>
      <c r="E4882" s="719"/>
      <c r="F4882" s="472" t="s">
        <v>23</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999</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1000</v>
      </c>
      <c r="D4886" s="482" t="s">
        <v>24</v>
      </c>
      <c r="E4886" s="482" t="s">
        <v>1001</v>
      </c>
      <c r="F4886" s="482" t="s">
        <v>1002</v>
      </c>
      <c r="G4886" s="481" t="s">
        <v>1003</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1004</v>
      </c>
      <c r="D4898" s="472" t="s">
        <v>1001</v>
      </c>
      <c r="E4898" s="538">
        <f>SUMPRODUCT(D4887:D4896,E4887:E4896)</f>
        <v>0</v>
      </c>
      <c r="F4898" s="472" t="s">
        <v>1005</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1006</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06" t="s">
        <v>576</v>
      </c>
      <c r="B4902" s="707"/>
      <c r="C4902" s="708" t="s">
        <v>0</v>
      </c>
      <c r="D4902" s="720" t="s">
        <v>1866</v>
      </c>
      <c r="E4902" s="720" t="s">
        <v>1865</v>
      </c>
      <c r="F4902" s="712" t="s">
        <v>1007</v>
      </c>
      <c r="G4902" s="714" t="s">
        <v>26</v>
      </c>
    </row>
    <row r="4903" spans="1:7" ht="19.899999999999999" customHeight="1" x14ac:dyDescent="0.2">
      <c r="A4903" s="491" t="s">
        <v>577</v>
      </c>
      <c r="B4903" s="491" t="s">
        <v>578</v>
      </c>
      <c r="C4903" s="709"/>
      <c r="D4903" s="721"/>
      <c r="E4903" s="711"/>
      <c r="F4903" s="713"/>
      <c r="G4903" s="715"/>
    </row>
    <row r="4904" spans="1:7" ht="19.899999999999999" customHeight="1" x14ac:dyDescent="0.2">
      <c r="A4904" s="527"/>
      <c r="B4904" s="175"/>
      <c r="C4904" s="469" t="s">
        <v>1008</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27</v>
      </c>
      <c r="G4914" s="531">
        <f>SUBTOTAL(9,G4905:G4913)</f>
        <v>0</v>
      </c>
    </row>
    <row r="4915" spans="1:7" ht="19.899999999999999" customHeight="1" x14ac:dyDescent="0.2">
      <c r="A4915" s="527"/>
      <c r="B4915" s="175"/>
      <c r="C4915" s="469" t="s">
        <v>713</v>
      </c>
      <c r="D4915" s="473"/>
      <c r="E4915" s="474"/>
      <c r="F4915" s="475"/>
      <c r="G4915" s="528"/>
    </row>
    <row r="4916" spans="1:7" ht="19.899999999999999" customHeight="1" x14ac:dyDescent="0.2">
      <c r="A4916" s="706" t="s">
        <v>576</v>
      </c>
      <c r="B4916" s="707"/>
      <c r="C4916" s="708" t="s">
        <v>0</v>
      </c>
      <c r="D4916" s="710" t="s">
        <v>24</v>
      </c>
      <c r="E4916" s="710" t="s">
        <v>1832</v>
      </c>
      <c r="F4916" s="712" t="s">
        <v>1007</v>
      </c>
      <c r="G4916" s="714" t="s">
        <v>26</v>
      </c>
    </row>
    <row r="4917" spans="1:7" ht="19.899999999999999" customHeight="1" x14ac:dyDescent="0.2">
      <c r="A4917" s="491" t="s">
        <v>577</v>
      </c>
      <c r="B4917" s="491" t="s">
        <v>578</v>
      </c>
      <c r="C4917" s="709"/>
      <c r="D4917" s="711"/>
      <c r="E4917" s="711"/>
      <c r="F4917" s="713"/>
      <c r="G4917" s="715"/>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28</v>
      </c>
      <c r="G4925" s="532">
        <f>SUBTOTAL(9,G4918:G4924)</f>
        <v>0</v>
      </c>
    </row>
    <row r="4926" spans="1:7" ht="19.899999999999999" customHeight="1" x14ac:dyDescent="0.2">
      <c r="A4926" s="527"/>
      <c r="B4926" s="175"/>
      <c r="C4926" s="469" t="s">
        <v>1014</v>
      </c>
      <c r="D4926" s="473"/>
      <c r="E4926" s="474"/>
      <c r="F4926" s="475"/>
      <c r="G4926" s="528"/>
    </row>
    <row r="4927" spans="1:7" ht="19.899999999999999" customHeight="1" x14ac:dyDescent="0.2">
      <c r="A4927" s="706" t="s">
        <v>576</v>
      </c>
      <c r="B4927" s="707"/>
      <c r="C4927" s="708" t="s">
        <v>0</v>
      </c>
      <c r="D4927" s="708" t="s">
        <v>1867</v>
      </c>
      <c r="E4927" s="710" t="s">
        <v>24</v>
      </c>
      <c r="F4927" s="712" t="s">
        <v>25</v>
      </c>
      <c r="G4927" s="714" t="s">
        <v>26</v>
      </c>
    </row>
    <row r="4928" spans="1:7" ht="19.899999999999999" customHeight="1" x14ac:dyDescent="0.2">
      <c r="A4928" s="491" t="s">
        <v>577</v>
      </c>
      <c r="B4928" s="491" t="s">
        <v>578</v>
      </c>
      <c r="C4928" s="709"/>
      <c r="D4928" s="709"/>
      <c r="E4928" s="711"/>
      <c r="F4928" s="713"/>
      <c r="G4928" s="715"/>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29</v>
      </c>
      <c r="G4940" s="532">
        <f>SUBTOTAL(9,G4929:G4939)</f>
        <v>0</v>
      </c>
    </row>
    <row r="4941" spans="1:7" ht="19.899999999999999" customHeight="1" x14ac:dyDescent="0.2">
      <c r="A4941" s="527"/>
      <c r="B4941" s="175"/>
      <c r="C4941" s="469" t="s">
        <v>1015</v>
      </c>
      <c r="D4941" s="473"/>
      <c r="E4941" s="474"/>
      <c r="F4941" s="475"/>
      <c r="G4941" s="528"/>
    </row>
    <row r="4942" spans="1:7" ht="19.899999999999999" customHeight="1" x14ac:dyDescent="0.2">
      <c r="A4942" s="706" t="s">
        <v>576</v>
      </c>
      <c r="B4942" s="707"/>
      <c r="C4942" s="708" t="s">
        <v>0</v>
      </c>
      <c r="D4942" s="708" t="s">
        <v>1867</v>
      </c>
      <c r="E4942" s="710" t="s">
        <v>24</v>
      </c>
      <c r="F4942" s="712" t="s">
        <v>25</v>
      </c>
      <c r="G4942" s="714" t="s">
        <v>26</v>
      </c>
    </row>
    <row r="4943" spans="1:7" ht="19.899999999999999" customHeight="1" x14ac:dyDescent="0.2">
      <c r="A4943" s="491" t="s">
        <v>577</v>
      </c>
      <c r="B4943" s="491" t="s">
        <v>578</v>
      </c>
      <c r="C4943" s="709"/>
      <c r="D4943" s="709"/>
      <c r="E4943" s="711"/>
      <c r="F4943" s="713"/>
      <c r="G4943" s="715"/>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1016</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1833</v>
      </c>
      <c r="E4948" s="586"/>
      <c r="F4948" s="587" t="str">
        <f ca="1">"$/"&amp;G4882</f>
        <v>$/0</v>
      </c>
      <c r="G4948" s="537">
        <f>SUBTOTAL(9,G4905:G4947)</f>
        <v>0</v>
      </c>
    </row>
    <row r="4949" spans="1:7" ht="19.899999999999999" customHeight="1" x14ac:dyDescent="0.2">
      <c r="A4949" s="533"/>
      <c r="B4949" s="534"/>
      <c r="C4949" s="535"/>
      <c r="D4949" s="535" t="s">
        <v>2043</v>
      </c>
      <c r="E4949" s="536"/>
      <c r="F4949" s="589" t="str">
        <f ca="1">"$/"&amp;G4882</f>
        <v>$/0</v>
      </c>
      <c r="G4949" s="537">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16" t="s">
        <v>31</v>
      </c>
      <c r="B4951" s="717"/>
      <c r="C4951" s="717"/>
      <c r="D4951" s="717"/>
      <c r="E4951" s="717"/>
      <c r="F4951" s="717"/>
      <c r="G4951" s="718"/>
    </row>
    <row r="4952" spans="1:7" ht="19.899999999999999" customHeight="1" x14ac:dyDescent="0.2">
      <c r="A4952" s="516" t="s">
        <v>711</v>
      </c>
      <c r="B4952" s="467" t="str">
        <f>Comitente</f>
        <v>DIRECCIÓN PROVINCIAL DE VIALIDAD</v>
      </c>
      <c r="C4952" s="468"/>
      <c r="D4952" s="469"/>
      <c r="E4952" s="469"/>
      <c r="F4952" s="470"/>
      <c r="G4952" s="517"/>
    </row>
    <row r="4953" spans="1:7" ht="19.899999999999999" customHeight="1" x14ac:dyDescent="0.2">
      <c r="A4953" s="516" t="s">
        <v>712</v>
      </c>
      <c r="B4953" s="467">
        <f>Contratista</f>
        <v>0</v>
      </c>
      <c r="C4953" s="471"/>
      <c r="D4953" s="471"/>
      <c r="E4953" s="471"/>
      <c r="F4953" s="467"/>
      <c r="G4953" s="518"/>
    </row>
    <row r="4954" spans="1:7" ht="19.899999999999999" customHeight="1" x14ac:dyDescent="0.2">
      <c r="A4954" s="516" t="s">
        <v>21</v>
      </c>
      <c r="B4954" s="467" t="str">
        <f>Obra</f>
        <v>OBRA BÁSICA Y PAVIMENTACIÓN CALLE GÜEMES</v>
      </c>
      <c r="C4954" s="471"/>
      <c r="D4954" s="471"/>
      <c r="E4954" s="471"/>
      <c r="F4954" s="467" t="s">
        <v>32</v>
      </c>
      <c r="G4954" s="518">
        <f>Fecha_Base</f>
        <v>0</v>
      </c>
    </row>
    <row r="4955" spans="1:7" ht="19.899999999999999" customHeight="1" x14ac:dyDescent="0.2">
      <c r="A4955" s="519" t="s">
        <v>710</v>
      </c>
      <c r="B4955" s="472" t="str">
        <f>Ubicación</f>
        <v>Rawson - Santa Lucia</v>
      </c>
      <c r="C4955" s="472"/>
      <c r="D4955" s="473"/>
      <c r="E4955" s="474"/>
      <c r="F4955" s="475"/>
      <c r="G4955" s="520"/>
    </row>
    <row r="4956" spans="1:7" ht="19.899999999999999" customHeight="1" x14ac:dyDescent="0.2">
      <c r="A4956" s="519" t="s">
        <v>33</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22</v>
      </c>
      <c r="B4957" s="477" t="str">
        <f>IFERROR(VLOOKUP(COUNTIF($A$1:A4957,"ANALISIS DE PRECIOS"),T_NumeroItem,2,FALSE),"")</f>
        <v/>
      </c>
      <c r="C4957" s="719">
        <f ca="1">IFERROR(VLOOKUP(B4957,T_Computo_Presupuesto,2,FALSE),0)</f>
        <v>0</v>
      </c>
      <c r="D4957" s="719"/>
      <c r="E4957" s="719"/>
      <c r="F4957" s="472" t="s">
        <v>23</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999</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1000</v>
      </c>
      <c r="D4961" s="482" t="s">
        <v>24</v>
      </c>
      <c r="E4961" s="482" t="s">
        <v>1001</v>
      </c>
      <c r="F4961" s="482" t="s">
        <v>1002</v>
      </c>
      <c r="G4961" s="481" t="s">
        <v>1003</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1004</v>
      </c>
      <c r="D4973" s="472" t="s">
        <v>1001</v>
      </c>
      <c r="E4973" s="538">
        <f>SUMPRODUCT(D4962:D4971,E4962:E4971)</f>
        <v>0</v>
      </c>
      <c r="F4973" s="472" t="s">
        <v>1005</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1006</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06" t="s">
        <v>576</v>
      </c>
      <c r="B4977" s="707"/>
      <c r="C4977" s="708" t="s">
        <v>0</v>
      </c>
      <c r="D4977" s="720" t="s">
        <v>1866</v>
      </c>
      <c r="E4977" s="720" t="s">
        <v>1865</v>
      </c>
      <c r="F4977" s="712" t="s">
        <v>1007</v>
      </c>
      <c r="G4977" s="714" t="s">
        <v>26</v>
      </c>
    </row>
    <row r="4978" spans="1:7" ht="19.899999999999999" customHeight="1" x14ac:dyDescent="0.2">
      <c r="A4978" s="491" t="s">
        <v>577</v>
      </c>
      <c r="B4978" s="491" t="s">
        <v>578</v>
      </c>
      <c r="C4978" s="709"/>
      <c r="D4978" s="721"/>
      <c r="E4978" s="711"/>
      <c r="F4978" s="713"/>
      <c r="G4978" s="715"/>
    </row>
    <row r="4979" spans="1:7" ht="19.899999999999999" customHeight="1" x14ac:dyDescent="0.2">
      <c r="A4979" s="527"/>
      <c r="B4979" s="175"/>
      <c r="C4979" s="469" t="s">
        <v>1008</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27</v>
      </c>
      <c r="G4989" s="531">
        <f>SUBTOTAL(9,G4980:G4988)</f>
        <v>0</v>
      </c>
    </row>
    <row r="4990" spans="1:7" ht="19.899999999999999" customHeight="1" x14ac:dyDescent="0.2">
      <c r="A4990" s="527"/>
      <c r="B4990" s="175"/>
      <c r="C4990" s="469" t="s">
        <v>713</v>
      </c>
      <c r="D4990" s="473"/>
      <c r="E4990" s="474"/>
      <c r="F4990" s="475"/>
      <c r="G4990" s="528"/>
    </row>
    <row r="4991" spans="1:7" ht="19.899999999999999" customHeight="1" x14ac:dyDescent="0.2">
      <c r="A4991" s="706" t="s">
        <v>576</v>
      </c>
      <c r="B4991" s="707"/>
      <c r="C4991" s="708" t="s">
        <v>0</v>
      </c>
      <c r="D4991" s="710" t="s">
        <v>24</v>
      </c>
      <c r="E4991" s="710" t="s">
        <v>1832</v>
      </c>
      <c r="F4991" s="712" t="s">
        <v>1007</v>
      </c>
      <c r="G4991" s="714" t="s">
        <v>26</v>
      </c>
    </row>
    <row r="4992" spans="1:7" ht="19.899999999999999" customHeight="1" x14ac:dyDescent="0.2">
      <c r="A4992" s="491" t="s">
        <v>577</v>
      </c>
      <c r="B4992" s="491" t="s">
        <v>578</v>
      </c>
      <c r="C4992" s="709"/>
      <c r="D4992" s="711"/>
      <c r="E4992" s="711"/>
      <c r="F4992" s="713"/>
      <c r="G4992" s="715"/>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28</v>
      </c>
      <c r="G5000" s="532">
        <f>SUBTOTAL(9,G4993:G4999)</f>
        <v>0</v>
      </c>
    </row>
    <row r="5001" spans="1:7" ht="19.899999999999999" customHeight="1" x14ac:dyDescent="0.2">
      <c r="A5001" s="527"/>
      <c r="B5001" s="175"/>
      <c r="C5001" s="469" t="s">
        <v>1014</v>
      </c>
      <c r="D5001" s="473"/>
      <c r="E5001" s="474"/>
      <c r="F5001" s="475"/>
      <c r="G5001" s="528"/>
    </row>
    <row r="5002" spans="1:7" ht="19.899999999999999" customHeight="1" x14ac:dyDescent="0.2">
      <c r="A5002" s="706" t="s">
        <v>576</v>
      </c>
      <c r="B5002" s="707"/>
      <c r="C5002" s="708" t="s">
        <v>0</v>
      </c>
      <c r="D5002" s="708" t="s">
        <v>1867</v>
      </c>
      <c r="E5002" s="710" t="s">
        <v>24</v>
      </c>
      <c r="F5002" s="712" t="s">
        <v>25</v>
      </c>
      <c r="G5002" s="714" t="s">
        <v>26</v>
      </c>
    </row>
    <row r="5003" spans="1:7" ht="19.899999999999999" customHeight="1" x14ac:dyDescent="0.2">
      <c r="A5003" s="491" t="s">
        <v>577</v>
      </c>
      <c r="B5003" s="491" t="s">
        <v>578</v>
      </c>
      <c r="C5003" s="709"/>
      <c r="D5003" s="709"/>
      <c r="E5003" s="711"/>
      <c r="F5003" s="713"/>
      <c r="G5003" s="715"/>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29</v>
      </c>
      <c r="G5015" s="532">
        <f>SUBTOTAL(9,G5004:G5014)</f>
        <v>0</v>
      </c>
    </row>
    <row r="5016" spans="1:7" ht="19.899999999999999" customHeight="1" x14ac:dyDescent="0.2">
      <c r="A5016" s="527"/>
      <c r="B5016" s="175"/>
      <c r="C5016" s="469" t="s">
        <v>1015</v>
      </c>
      <c r="D5016" s="473"/>
      <c r="E5016" s="474"/>
      <c r="F5016" s="475"/>
      <c r="G5016" s="528"/>
    </row>
    <row r="5017" spans="1:7" ht="19.899999999999999" customHeight="1" x14ac:dyDescent="0.2">
      <c r="A5017" s="706" t="s">
        <v>576</v>
      </c>
      <c r="B5017" s="707"/>
      <c r="C5017" s="708" t="s">
        <v>0</v>
      </c>
      <c r="D5017" s="708" t="s">
        <v>1867</v>
      </c>
      <c r="E5017" s="710" t="s">
        <v>24</v>
      </c>
      <c r="F5017" s="712" t="s">
        <v>25</v>
      </c>
      <c r="G5017" s="714" t="s">
        <v>26</v>
      </c>
    </row>
    <row r="5018" spans="1:7" ht="19.899999999999999" customHeight="1" x14ac:dyDescent="0.2">
      <c r="A5018" s="491" t="s">
        <v>577</v>
      </c>
      <c r="B5018" s="491" t="s">
        <v>578</v>
      </c>
      <c r="C5018" s="709"/>
      <c r="D5018" s="709"/>
      <c r="E5018" s="711"/>
      <c r="F5018" s="713"/>
      <c r="G5018" s="715"/>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1016</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1833</v>
      </c>
      <c r="E5023" s="586"/>
      <c r="F5023" s="587" t="str">
        <f ca="1">"$/"&amp;G4957</f>
        <v>$/0</v>
      </c>
      <c r="G5023" s="537">
        <f>SUBTOTAL(9,G4980:G5022)</f>
        <v>0</v>
      </c>
    </row>
    <row r="5024" spans="1:7" ht="19.899999999999999" customHeight="1" x14ac:dyDescent="0.2">
      <c r="A5024" s="533"/>
      <c r="B5024" s="534"/>
      <c r="C5024" s="535"/>
      <c r="D5024" s="535" t="s">
        <v>2043</v>
      </c>
      <c r="E5024" s="536"/>
      <c r="F5024" s="589" t="str">
        <f ca="1">"$/"&amp;G4957</f>
        <v>$/0</v>
      </c>
      <c r="G5024" s="537">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16" t="s">
        <v>31</v>
      </c>
      <c r="B5026" s="717"/>
      <c r="C5026" s="717"/>
      <c r="D5026" s="717"/>
      <c r="E5026" s="717"/>
      <c r="F5026" s="717"/>
      <c r="G5026" s="718"/>
    </row>
    <row r="5027" spans="1:7" ht="19.899999999999999" customHeight="1" x14ac:dyDescent="0.2">
      <c r="A5027" s="516" t="s">
        <v>711</v>
      </c>
      <c r="B5027" s="467" t="str">
        <f>Comitente</f>
        <v>DIRECCIÓN PROVINCIAL DE VIALIDAD</v>
      </c>
      <c r="C5027" s="468"/>
      <c r="D5027" s="469"/>
      <c r="E5027" s="469"/>
      <c r="F5027" s="470"/>
      <c r="G5027" s="517"/>
    </row>
    <row r="5028" spans="1:7" ht="19.899999999999999" customHeight="1" x14ac:dyDescent="0.2">
      <c r="A5028" s="516" t="s">
        <v>712</v>
      </c>
      <c r="B5028" s="467">
        <f>Contratista</f>
        <v>0</v>
      </c>
      <c r="C5028" s="471"/>
      <c r="D5028" s="471"/>
      <c r="E5028" s="471"/>
      <c r="F5028" s="467"/>
      <c r="G5028" s="518"/>
    </row>
    <row r="5029" spans="1:7" ht="19.899999999999999" customHeight="1" x14ac:dyDescent="0.2">
      <c r="A5029" s="516" t="s">
        <v>21</v>
      </c>
      <c r="B5029" s="467" t="str">
        <f>Obra</f>
        <v>OBRA BÁSICA Y PAVIMENTACIÓN CALLE GÜEMES</v>
      </c>
      <c r="C5029" s="471"/>
      <c r="D5029" s="471"/>
      <c r="E5029" s="471"/>
      <c r="F5029" s="467" t="s">
        <v>32</v>
      </c>
      <c r="G5029" s="518">
        <f>Fecha_Base</f>
        <v>0</v>
      </c>
    </row>
    <row r="5030" spans="1:7" ht="19.899999999999999" customHeight="1" x14ac:dyDescent="0.2">
      <c r="A5030" s="519" t="s">
        <v>710</v>
      </c>
      <c r="B5030" s="472" t="str">
        <f>Ubicación</f>
        <v>Rawson - Santa Lucia</v>
      </c>
      <c r="C5030" s="472"/>
      <c r="D5030" s="473"/>
      <c r="E5030" s="474"/>
      <c r="F5030" s="475"/>
      <c r="G5030" s="520"/>
    </row>
    <row r="5031" spans="1:7" ht="19.899999999999999" customHeight="1" x14ac:dyDescent="0.2">
      <c r="A5031" s="519" t="s">
        <v>33</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22</v>
      </c>
      <c r="B5032" s="477" t="str">
        <f>IFERROR(VLOOKUP(COUNTIF($A$1:A5032,"ANALISIS DE PRECIOS"),T_NumeroItem,2,FALSE),"")</f>
        <v/>
      </c>
      <c r="C5032" s="719">
        <f ca="1">IFERROR(VLOOKUP(B5032,T_Computo_Presupuesto,2,FALSE),0)</f>
        <v>0</v>
      </c>
      <c r="D5032" s="719"/>
      <c r="E5032" s="719"/>
      <c r="F5032" s="472" t="s">
        <v>23</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999</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1000</v>
      </c>
      <c r="D5036" s="482" t="s">
        <v>24</v>
      </c>
      <c r="E5036" s="482" t="s">
        <v>1001</v>
      </c>
      <c r="F5036" s="482" t="s">
        <v>1002</v>
      </c>
      <c r="G5036" s="481" t="s">
        <v>1003</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1004</v>
      </c>
      <c r="D5048" s="472" t="s">
        <v>1001</v>
      </c>
      <c r="E5048" s="538">
        <f>SUMPRODUCT(D5037:D5046,E5037:E5046)</f>
        <v>0</v>
      </c>
      <c r="F5048" s="472" t="s">
        <v>1005</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1006</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06" t="s">
        <v>576</v>
      </c>
      <c r="B5052" s="707"/>
      <c r="C5052" s="708" t="s">
        <v>0</v>
      </c>
      <c r="D5052" s="720" t="s">
        <v>1866</v>
      </c>
      <c r="E5052" s="720" t="s">
        <v>1865</v>
      </c>
      <c r="F5052" s="712" t="s">
        <v>1007</v>
      </c>
      <c r="G5052" s="714" t="s">
        <v>26</v>
      </c>
    </row>
    <row r="5053" spans="1:7" ht="19.899999999999999" customHeight="1" x14ac:dyDescent="0.2">
      <c r="A5053" s="491" t="s">
        <v>577</v>
      </c>
      <c r="B5053" s="491" t="s">
        <v>578</v>
      </c>
      <c r="C5053" s="709"/>
      <c r="D5053" s="721"/>
      <c r="E5053" s="711"/>
      <c r="F5053" s="713"/>
      <c r="G5053" s="715"/>
    </row>
    <row r="5054" spans="1:7" ht="19.899999999999999" customHeight="1" x14ac:dyDescent="0.2">
      <c r="A5054" s="527"/>
      <c r="B5054" s="175"/>
      <c r="C5054" s="469" t="s">
        <v>1008</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27</v>
      </c>
      <c r="G5064" s="531">
        <f>SUBTOTAL(9,G5055:G5063)</f>
        <v>0</v>
      </c>
    </row>
    <row r="5065" spans="1:7" ht="19.899999999999999" customHeight="1" x14ac:dyDescent="0.2">
      <c r="A5065" s="527"/>
      <c r="B5065" s="175"/>
      <c r="C5065" s="469" t="s">
        <v>713</v>
      </c>
      <c r="D5065" s="473"/>
      <c r="E5065" s="474"/>
      <c r="F5065" s="475"/>
      <c r="G5065" s="528"/>
    </row>
    <row r="5066" spans="1:7" ht="19.899999999999999" customHeight="1" x14ac:dyDescent="0.2">
      <c r="A5066" s="706" t="s">
        <v>576</v>
      </c>
      <c r="B5066" s="707"/>
      <c r="C5066" s="708" t="s">
        <v>0</v>
      </c>
      <c r="D5066" s="710" t="s">
        <v>24</v>
      </c>
      <c r="E5066" s="710" t="s">
        <v>1832</v>
      </c>
      <c r="F5066" s="712" t="s">
        <v>1007</v>
      </c>
      <c r="G5066" s="714" t="s">
        <v>26</v>
      </c>
    </row>
    <row r="5067" spans="1:7" ht="19.899999999999999" customHeight="1" x14ac:dyDescent="0.2">
      <c r="A5067" s="491" t="s">
        <v>577</v>
      </c>
      <c r="B5067" s="491" t="s">
        <v>578</v>
      </c>
      <c r="C5067" s="709"/>
      <c r="D5067" s="711"/>
      <c r="E5067" s="711"/>
      <c r="F5067" s="713"/>
      <c r="G5067" s="715"/>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28</v>
      </c>
      <c r="G5075" s="532">
        <f>SUBTOTAL(9,G5068:G5074)</f>
        <v>0</v>
      </c>
    </row>
    <row r="5076" spans="1:7" ht="19.899999999999999" customHeight="1" x14ac:dyDescent="0.2">
      <c r="A5076" s="527"/>
      <c r="B5076" s="175"/>
      <c r="C5076" s="469" t="s">
        <v>1014</v>
      </c>
      <c r="D5076" s="473"/>
      <c r="E5076" s="474"/>
      <c r="F5076" s="475"/>
      <c r="G5076" s="528"/>
    </row>
    <row r="5077" spans="1:7" ht="19.899999999999999" customHeight="1" x14ac:dyDescent="0.2">
      <c r="A5077" s="706" t="s">
        <v>576</v>
      </c>
      <c r="B5077" s="707"/>
      <c r="C5077" s="708" t="s">
        <v>0</v>
      </c>
      <c r="D5077" s="708" t="s">
        <v>1867</v>
      </c>
      <c r="E5077" s="710" t="s">
        <v>24</v>
      </c>
      <c r="F5077" s="712" t="s">
        <v>25</v>
      </c>
      <c r="G5077" s="714" t="s">
        <v>26</v>
      </c>
    </row>
    <row r="5078" spans="1:7" ht="19.899999999999999" customHeight="1" x14ac:dyDescent="0.2">
      <c r="A5078" s="491" t="s">
        <v>577</v>
      </c>
      <c r="B5078" s="491" t="s">
        <v>578</v>
      </c>
      <c r="C5078" s="709"/>
      <c r="D5078" s="709"/>
      <c r="E5078" s="711"/>
      <c r="F5078" s="713"/>
      <c r="G5078" s="715"/>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29</v>
      </c>
      <c r="G5090" s="532">
        <f>SUBTOTAL(9,G5079:G5089)</f>
        <v>0</v>
      </c>
    </row>
    <row r="5091" spans="1:7" ht="19.899999999999999" customHeight="1" x14ac:dyDescent="0.2">
      <c r="A5091" s="527"/>
      <c r="B5091" s="175"/>
      <c r="C5091" s="469" t="s">
        <v>1015</v>
      </c>
      <c r="D5091" s="473"/>
      <c r="E5091" s="474"/>
      <c r="F5091" s="475"/>
      <c r="G5091" s="528"/>
    </row>
    <row r="5092" spans="1:7" ht="19.899999999999999" customHeight="1" x14ac:dyDescent="0.2">
      <c r="A5092" s="706" t="s">
        <v>576</v>
      </c>
      <c r="B5092" s="707"/>
      <c r="C5092" s="708" t="s">
        <v>0</v>
      </c>
      <c r="D5092" s="708" t="s">
        <v>1867</v>
      </c>
      <c r="E5092" s="710" t="s">
        <v>24</v>
      </c>
      <c r="F5092" s="712" t="s">
        <v>25</v>
      </c>
      <c r="G5092" s="714" t="s">
        <v>26</v>
      </c>
    </row>
    <row r="5093" spans="1:7" ht="19.899999999999999" customHeight="1" x14ac:dyDescent="0.2">
      <c r="A5093" s="491" t="s">
        <v>577</v>
      </c>
      <c r="B5093" s="491" t="s">
        <v>578</v>
      </c>
      <c r="C5093" s="709"/>
      <c r="D5093" s="709"/>
      <c r="E5093" s="711"/>
      <c r="F5093" s="713"/>
      <c r="G5093" s="715"/>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1016</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1833</v>
      </c>
      <c r="E5098" s="586"/>
      <c r="F5098" s="587" t="str">
        <f ca="1">"$/"&amp;G5032</f>
        <v>$/0</v>
      </c>
      <c r="G5098" s="537">
        <f>SUBTOTAL(9,G5055:G5097)</f>
        <v>0</v>
      </c>
    </row>
    <row r="5099" spans="1:7" ht="19.899999999999999" customHeight="1" x14ac:dyDescent="0.2">
      <c r="A5099" s="533"/>
      <c r="B5099" s="534"/>
      <c r="C5099" s="535"/>
      <c r="D5099" s="535" t="s">
        <v>2043</v>
      </c>
      <c r="E5099" s="536"/>
      <c r="F5099" s="589" t="str">
        <f ca="1">"$/"&amp;G5032</f>
        <v>$/0</v>
      </c>
      <c r="G5099" s="537">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16" t="s">
        <v>31</v>
      </c>
      <c r="B5101" s="717"/>
      <c r="C5101" s="717"/>
      <c r="D5101" s="717"/>
      <c r="E5101" s="717"/>
      <c r="F5101" s="717"/>
      <c r="G5101" s="718"/>
    </row>
    <row r="5102" spans="1:7" ht="19.899999999999999" customHeight="1" x14ac:dyDescent="0.2">
      <c r="A5102" s="516" t="s">
        <v>711</v>
      </c>
      <c r="B5102" s="467" t="str">
        <f>Comitente</f>
        <v>DIRECCIÓN PROVINCIAL DE VIALIDAD</v>
      </c>
      <c r="C5102" s="468"/>
      <c r="D5102" s="469"/>
      <c r="E5102" s="469"/>
      <c r="F5102" s="470"/>
      <c r="G5102" s="517"/>
    </row>
    <row r="5103" spans="1:7" ht="19.899999999999999" customHeight="1" x14ac:dyDescent="0.2">
      <c r="A5103" s="516" t="s">
        <v>712</v>
      </c>
      <c r="B5103" s="467">
        <f>Contratista</f>
        <v>0</v>
      </c>
      <c r="C5103" s="471"/>
      <c r="D5103" s="471"/>
      <c r="E5103" s="471"/>
      <c r="F5103" s="467"/>
      <c r="G5103" s="518"/>
    </row>
    <row r="5104" spans="1:7" ht="19.899999999999999" customHeight="1" x14ac:dyDescent="0.2">
      <c r="A5104" s="516" t="s">
        <v>21</v>
      </c>
      <c r="B5104" s="467" t="str">
        <f>Obra</f>
        <v>OBRA BÁSICA Y PAVIMENTACIÓN CALLE GÜEMES</v>
      </c>
      <c r="C5104" s="471"/>
      <c r="D5104" s="471"/>
      <c r="E5104" s="471"/>
      <c r="F5104" s="467" t="s">
        <v>32</v>
      </c>
      <c r="G5104" s="518">
        <f>Fecha_Base</f>
        <v>0</v>
      </c>
    </row>
    <row r="5105" spans="1:7" ht="19.899999999999999" customHeight="1" x14ac:dyDescent="0.2">
      <c r="A5105" s="519" t="s">
        <v>710</v>
      </c>
      <c r="B5105" s="472" t="str">
        <f>Ubicación</f>
        <v>Rawson - Santa Lucia</v>
      </c>
      <c r="C5105" s="472"/>
      <c r="D5105" s="473"/>
      <c r="E5105" s="474"/>
      <c r="F5105" s="475"/>
      <c r="G5105" s="520"/>
    </row>
    <row r="5106" spans="1:7" ht="19.899999999999999" customHeight="1" x14ac:dyDescent="0.2">
      <c r="A5106" s="519" t="s">
        <v>33</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22</v>
      </c>
      <c r="B5107" s="477" t="str">
        <f>IFERROR(VLOOKUP(COUNTIF($A$1:A5107,"ANALISIS DE PRECIOS"),T_NumeroItem,2,FALSE),"")</f>
        <v/>
      </c>
      <c r="C5107" s="719">
        <f ca="1">IFERROR(VLOOKUP(B5107,T_Computo_Presupuesto,2,FALSE),0)</f>
        <v>0</v>
      </c>
      <c r="D5107" s="719"/>
      <c r="E5107" s="719"/>
      <c r="F5107" s="472" t="s">
        <v>23</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999</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1000</v>
      </c>
      <c r="D5111" s="482" t="s">
        <v>24</v>
      </c>
      <c r="E5111" s="482" t="s">
        <v>1001</v>
      </c>
      <c r="F5111" s="482" t="s">
        <v>1002</v>
      </c>
      <c r="G5111" s="481" t="s">
        <v>1003</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1004</v>
      </c>
      <c r="D5123" s="472" t="s">
        <v>1001</v>
      </c>
      <c r="E5123" s="538">
        <f>SUMPRODUCT(D5112:D5121,E5112:E5121)</f>
        <v>0</v>
      </c>
      <c r="F5123" s="472" t="s">
        <v>1005</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1006</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06" t="s">
        <v>576</v>
      </c>
      <c r="B5127" s="707"/>
      <c r="C5127" s="708" t="s">
        <v>0</v>
      </c>
      <c r="D5127" s="720" t="s">
        <v>1866</v>
      </c>
      <c r="E5127" s="720" t="s">
        <v>1865</v>
      </c>
      <c r="F5127" s="712" t="s">
        <v>1007</v>
      </c>
      <c r="G5127" s="714" t="s">
        <v>26</v>
      </c>
    </row>
    <row r="5128" spans="1:7" ht="19.899999999999999" customHeight="1" x14ac:dyDescent="0.2">
      <c r="A5128" s="491" t="s">
        <v>577</v>
      </c>
      <c r="B5128" s="491" t="s">
        <v>578</v>
      </c>
      <c r="C5128" s="709"/>
      <c r="D5128" s="721"/>
      <c r="E5128" s="711"/>
      <c r="F5128" s="713"/>
      <c r="G5128" s="715"/>
    </row>
    <row r="5129" spans="1:7" ht="19.899999999999999" customHeight="1" x14ac:dyDescent="0.2">
      <c r="A5129" s="527"/>
      <c r="B5129" s="175"/>
      <c r="C5129" s="469" t="s">
        <v>1008</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27</v>
      </c>
      <c r="G5139" s="531">
        <f>SUBTOTAL(9,G5130:G5138)</f>
        <v>0</v>
      </c>
    </row>
    <row r="5140" spans="1:7" ht="19.899999999999999" customHeight="1" x14ac:dyDescent="0.2">
      <c r="A5140" s="527"/>
      <c r="B5140" s="175"/>
      <c r="C5140" s="469" t="s">
        <v>713</v>
      </c>
      <c r="D5140" s="473"/>
      <c r="E5140" s="474"/>
      <c r="F5140" s="475"/>
      <c r="G5140" s="528"/>
    </row>
    <row r="5141" spans="1:7" ht="19.899999999999999" customHeight="1" x14ac:dyDescent="0.2">
      <c r="A5141" s="706" t="s">
        <v>576</v>
      </c>
      <c r="B5141" s="707"/>
      <c r="C5141" s="708" t="s">
        <v>0</v>
      </c>
      <c r="D5141" s="710" t="s">
        <v>24</v>
      </c>
      <c r="E5141" s="710" t="s">
        <v>1832</v>
      </c>
      <c r="F5141" s="712" t="s">
        <v>1007</v>
      </c>
      <c r="G5141" s="714" t="s">
        <v>26</v>
      </c>
    </row>
    <row r="5142" spans="1:7" ht="19.899999999999999" customHeight="1" x14ac:dyDescent="0.2">
      <c r="A5142" s="491" t="s">
        <v>577</v>
      </c>
      <c r="B5142" s="491" t="s">
        <v>578</v>
      </c>
      <c r="C5142" s="709"/>
      <c r="D5142" s="711"/>
      <c r="E5142" s="711"/>
      <c r="F5142" s="713"/>
      <c r="G5142" s="715"/>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28</v>
      </c>
      <c r="G5150" s="532">
        <f>SUBTOTAL(9,G5143:G5149)</f>
        <v>0</v>
      </c>
    </row>
    <row r="5151" spans="1:7" ht="19.899999999999999" customHeight="1" x14ac:dyDescent="0.2">
      <c r="A5151" s="527"/>
      <c r="B5151" s="175"/>
      <c r="C5151" s="469" t="s">
        <v>1014</v>
      </c>
      <c r="D5151" s="473"/>
      <c r="E5151" s="474"/>
      <c r="F5151" s="475"/>
      <c r="G5151" s="528"/>
    </row>
    <row r="5152" spans="1:7" ht="19.899999999999999" customHeight="1" x14ac:dyDescent="0.2">
      <c r="A5152" s="706" t="s">
        <v>576</v>
      </c>
      <c r="B5152" s="707"/>
      <c r="C5152" s="708" t="s">
        <v>0</v>
      </c>
      <c r="D5152" s="708" t="s">
        <v>1867</v>
      </c>
      <c r="E5152" s="710" t="s">
        <v>24</v>
      </c>
      <c r="F5152" s="712" t="s">
        <v>25</v>
      </c>
      <c r="G5152" s="714" t="s">
        <v>26</v>
      </c>
    </row>
    <row r="5153" spans="1:7" ht="19.899999999999999" customHeight="1" x14ac:dyDescent="0.2">
      <c r="A5153" s="491" t="s">
        <v>577</v>
      </c>
      <c r="B5153" s="491" t="s">
        <v>578</v>
      </c>
      <c r="C5153" s="709"/>
      <c r="D5153" s="709"/>
      <c r="E5153" s="711"/>
      <c r="F5153" s="713"/>
      <c r="G5153" s="715"/>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29</v>
      </c>
      <c r="G5165" s="532">
        <f>SUBTOTAL(9,G5154:G5164)</f>
        <v>0</v>
      </c>
    </row>
    <row r="5166" spans="1:7" ht="19.899999999999999" customHeight="1" x14ac:dyDescent="0.2">
      <c r="A5166" s="527"/>
      <c r="B5166" s="175"/>
      <c r="C5166" s="469" t="s">
        <v>1015</v>
      </c>
      <c r="D5166" s="473"/>
      <c r="E5166" s="474"/>
      <c r="F5166" s="475"/>
      <c r="G5166" s="528"/>
    </row>
    <row r="5167" spans="1:7" ht="19.899999999999999" customHeight="1" x14ac:dyDescent="0.2">
      <c r="A5167" s="706" t="s">
        <v>576</v>
      </c>
      <c r="B5167" s="707"/>
      <c r="C5167" s="708" t="s">
        <v>0</v>
      </c>
      <c r="D5167" s="708" t="s">
        <v>1867</v>
      </c>
      <c r="E5167" s="710" t="s">
        <v>24</v>
      </c>
      <c r="F5167" s="712" t="s">
        <v>25</v>
      </c>
      <c r="G5167" s="714" t="s">
        <v>26</v>
      </c>
    </row>
    <row r="5168" spans="1:7" ht="19.899999999999999" customHeight="1" x14ac:dyDescent="0.2">
      <c r="A5168" s="491" t="s">
        <v>577</v>
      </c>
      <c r="B5168" s="491" t="s">
        <v>578</v>
      </c>
      <c r="C5168" s="709"/>
      <c r="D5168" s="709"/>
      <c r="E5168" s="711"/>
      <c r="F5168" s="713"/>
      <c r="G5168" s="715"/>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1016</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1833</v>
      </c>
      <c r="E5173" s="586"/>
      <c r="F5173" s="587" t="str">
        <f ca="1">"$/"&amp;G5107</f>
        <v>$/0</v>
      </c>
      <c r="G5173" s="537">
        <f>SUBTOTAL(9,G5130:G5172)</f>
        <v>0</v>
      </c>
    </row>
    <row r="5174" spans="1:7" ht="19.899999999999999" customHeight="1" x14ac:dyDescent="0.2">
      <c r="A5174" s="533"/>
      <c r="B5174" s="534"/>
      <c r="C5174" s="535"/>
      <c r="D5174" s="535" t="s">
        <v>2043</v>
      </c>
      <c r="E5174" s="536"/>
      <c r="F5174" s="589" t="str">
        <f ca="1">"$/"&amp;G5107</f>
        <v>$/0</v>
      </c>
      <c r="G5174" s="537">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16" t="s">
        <v>31</v>
      </c>
      <c r="B5176" s="717"/>
      <c r="C5176" s="717"/>
      <c r="D5176" s="717"/>
      <c r="E5176" s="717"/>
      <c r="F5176" s="717"/>
      <c r="G5176" s="718"/>
    </row>
    <row r="5177" spans="1:7" ht="19.899999999999999" customHeight="1" x14ac:dyDescent="0.2">
      <c r="A5177" s="516" t="s">
        <v>711</v>
      </c>
      <c r="B5177" s="467" t="str">
        <f>Comitente</f>
        <v>DIRECCIÓN PROVINCIAL DE VIALIDAD</v>
      </c>
      <c r="C5177" s="468"/>
      <c r="D5177" s="469"/>
      <c r="E5177" s="469"/>
      <c r="F5177" s="470"/>
      <c r="G5177" s="517"/>
    </row>
    <row r="5178" spans="1:7" ht="19.899999999999999" customHeight="1" x14ac:dyDescent="0.2">
      <c r="A5178" s="516" t="s">
        <v>712</v>
      </c>
      <c r="B5178" s="467">
        <f>Contratista</f>
        <v>0</v>
      </c>
      <c r="C5178" s="471"/>
      <c r="D5178" s="471"/>
      <c r="E5178" s="471"/>
      <c r="F5178" s="467"/>
      <c r="G5178" s="518"/>
    </row>
    <row r="5179" spans="1:7" ht="19.899999999999999" customHeight="1" x14ac:dyDescent="0.2">
      <c r="A5179" s="516" t="s">
        <v>21</v>
      </c>
      <c r="B5179" s="467" t="str">
        <f>Obra</f>
        <v>OBRA BÁSICA Y PAVIMENTACIÓN CALLE GÜEMES</v>
      </c>
      <c r="C5179" s="471"/>
      <c r="D5179" s="471"/>
      <c r="E5179" s="471"/>
      <c r="F5179" s="467" t="s">
        <v>32</v>
      </c>
      <c r="G5179" s="518">
        <f>Fecha_Base</f>
        <v>0</v>
      </c>
    </row>
    <row r="5180" spans="1:7" ht="19.899999999999999" customHeight="1" x14ac:dyDescent="0.2">
      <c r="A5180" s="519" t="s">
        <v>710</v>
      </c>
      <c r="B5180" s="472" t="str">
        <f>Ubicación</f>
        <v>Rawson - Santa Lucia</v>
      </c>
      <c r="C5180" s="472"/>
      <c r="D5180" s="473"/>
      <c r="E5180" s="474"/>
      <c r="F5180" s="475"/>
      <c r="G5180" s="520"/>
    </row>
    <row r="5181" spans="1:7" ht="19.899999999999999" customHeight="1" x14ac:dyDescent="0.2">
      <c r="A5181" s="519" t="s">
        <v>33</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22</v>
      </c>
      <c r="B5182" s="477" t="str">
        <f>IFERROR(VLOOKUP(COUNTIF($A$1:A5182,"ANALISIS DE PRECIOS"),T_NumeroItem,2,FALSE),"")</f>
        <v/>
      </c>
      <c r="C5182" s="719">
        <f ca="1">IFERROR(VLOOKUP(B5182,T_Computo_Presupuesto,2,FALSE),0)</f>
        <v>0</v>
      </c>
      <c r="D5182" s="719"/>
      <c r="E5182" s="719"/>
      <c r="F5182" s="472" t="s">
        <v>23</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999</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1000</v>
      </c>
      <c r="D5186" s="482" t="s">
        <v>24</v>
      </c>
      <c r="E5186" s="482" t="s">
        <v>1001</v>
      </c>
      <c r="F5186" s="482" t="s">
        <v>1002</v>
      </c>
      <c r="G5186" s="481" t="s">
        <v>1003</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1004</v>
      </c>
      <c r="D5198" s="472" t="s">
        <v>1001</v>
      </c>
      <c r="E5198" s="538">
        <f>SUMPRODUCT(D5187:D5196,E5187:E5196)</f>
        <v>0</v>
      </c>
      <c r="F5198" s="472" t="s">
        <v>1005</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1006</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06" t="s">
        <v>576</v>
      </c>
      <c r="B5202" s="707"/>
      <c r="C5202" s="708" t="s">
        <v>0</v>
      </c>
      <c r="D5202" s="720" t="s">
        <v>1866</v>
      </c>
      <c r="E5202" s="720" t="s">
        <v>1865</v>
      </c>
      <c r="F5202" s="712" t="s">
        <v>1007</v>
      </c>
      <c r="G5202" s="714" t="s">
        <v>26</v>
      </c>
    </row>
    <row r="5203" spans="1:7" ht="19.899999999999999" customHeight="1" x14ac:dyDescent="0.2">
      <c r="A5203" s="491" t="s">
        <v>577</v>
      </c>
      <c r="B5203" s="491" t="s">
        <v>578</v>
      </c>
      <c r="C5203" s="709"/>
      <c r="D5203" s="721"/>
      <c r="E5203" s="711"/>
      <c r="F5203" s="713"/>
      <c r="G5203" s="715"/>
    </row>
    <row r="5204" spans="1:7" ht="19.899999999999999" customHeight="1" x14ac:dyDescent="0.2">
      <c r="A5204" s="527"/>
      <c r="B5204" s="175"/>
      <c r="C5204" s="469" t="s">
        <v>1008</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27</v>
      </c>
      <c r="G5214" s="531">
        <f>SUBTOTAL(9,G5205:G5213)</f>
        <v>0</v>
      </c>
    </row>
    <row r="5215" spans="1:7" ht="19.899999999999999" customHeight="1" x14ac:dyDescent="0.2">
      <c r="A5215" s="527"/>
      <c r="B5215" s="175"/>
      <c r="C5215" s="469" t="s">
        <v>713</v>
      </c>
      <c r="D5215" s="473"/>
      <c r="E5215" s="474"/>
      <c r="F5215" s="475"/>
      <c r="G5215" s="528"/>
    </row>
    <row r="5216" spans="1:7" ht="19.899999999999999" customHeight="1" x14ac:dyDescent="0.2">
      <c r="A5216" s="706" t="s">
        <v>576</v>
      </c>
      <c r="B5216" s="707"/>
      <c r="C5216" s="708" t="s">
        <v>0</v>
      </c>
      <c r="D5216" s="710" t="s">
        <v>24</v>
      </c>
      <c r="E5216" s="710" t="s">
        <v>1832</v>
      </c>
      <c r="F5216" s="712" t="s">
        <v>1007</v>
      </c>
      <c r="G5216" s="714" t="s">
        <v>26</v>
      </c>
    </row>
    <row r="5217" spans="1:7" ht="19.899999999999999" customHeight="1" x14ac:dyDescent="0.2">
      <c r="A5217" s="491" t="s">
        <v>577</v>
      </c>
      <c r="B5217" s="491" t="s">
        <v>578</v>
      </c>
      <c r="C5217" s="709"/>
      <c r="D5217" s="711"/>
      <c r="E5217" s="711"/>
      <c r="F5217" s="713"/>
      <c r="G5217" s="715"/>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28</v>
      </c>
      <c r="G5225" s="532">
        <f>SUBTOTAL(9,G5218:G5224)</f>
        <v>0</v>
      </c>
    </row>
    <row r="5226" spans="1:7" ht="19.899999999999999" customHeight="1" x14ac:dyDescent="0.2">
      <c r="A5226" s="527"/>
      <c r="B5226" s="175"/>
      <c r="C5226" s="469" t="s">
        <v>1014</v>
      </c>
      <c r="D5226" s="473"/>
      <c r="E5226" s="474"/>
      <c r="F5226" s="475"/>
      <c r="G5226" s="528"/>
    </row>
    <row r="5227" spans="1:7" ht="19.899999999999999" customHeight="1" x14ac:dyDescent="0.2">
      <c r="A5227" s="706" t="s">
        <v>576</v>
      </c>
      <c r="B5227" s="707"/>
      <c r="C5227" s="708" t="s">
        <v>0</v>
      </c>
      <c r="D5227" s="708" t="s">
        <v>1867</v>
      </c>
      <c r="E5227" s="710" t="s">
        <v>24</v>
      </c>
      <c r="F5227" s="712" t="s">
        <v>25</v>
      </c>
      <c r="G5227" s="714" t="s">
        <v>26</v>
      </c>
    </row>
    <row r="5228" spans="1:7" ht="19.899999999999999" customHeight="1" x14ac:dyDescent="0.2">
      <c r="A5228" s="491" t="s">
        <v>577</v>
      </c>
      <c r="B5228" s="491" t="s">
        <v>578</v>
      </c>
      <c r="C5228" s="709"/>
      <c r="D5228" s="709"/>
      <c r="E5228" s="711"/>
      <c r="F5228" s="713"/>
      <c r="G5228" s="715"/>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29</v>
      </c>
      <c r="G5240" s="532">
        <f>SUBTOTAL(9,G5229:G5239)</f>
        <v>0</v>
      </c>
    </row>
    <row r="5241" spans="1:7" ht="19.899999999999999" customHeight="1" x14ac:dyDescent="0.2">
      <c r="A5241" s="527"/>
      <c r="B5241" s="175"/>
      <c r="C5241" s="469" t="s">
        <v>1015</v>
      </c>
      <c r="D5241" s="473"/>
      <c r="E5241" s="474"/>
      <c r="F5241" s="475"/>
      <c r="G5241" s="528"/>
    </row>
    <row r="5242" spans="1:7" ht="19.899999999999999" customHeight="1" x14ac:dyDescent="0.2">
      <c r="A5242" s="706" t="s">
        <v>576</v>
      </c>
      <c r="B5242" s="707"/>
      <c r="C5242" s="708" t="s">
        <v>0</v>
      </c>
      <c r="D5242" s="708" t="s">
        <v>1867</v>
      </c>
      <c r="E5242" s="710" t="s">
        <v>24</v>
      </c>
      <c r="F5242" s="712" t="s">
        <v>25</v>
      </c>
      <c r="G5242" s="714" t="s">
        <v>26</v>
      </c>
    </row>
    <row r="5243" spans="1:7" ht="19.899999999999999" customHeight="1" x14ac:dyDescent="0.2">
      <c r="A5243" s="491" t="s">
        <v>577</v>
      </c>
      <c r="B5243" s="491" t="s">
        <v>578</v>
      </c>
      <c r="C5243" s="709"/>
      <c r="D5243" s="709"/>
      <c r="E5243" s="711"/>
      <c r="F5243" s="713"/>
      <c r="G5243" s="715"/>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1016</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1833</v>
      </c>
      <c r="E5248" s="586"/>
      <c r="F5248" s="587" t="str">
        <f ca="1">"$/"&amp;G5182</f>
        <v>$/0</v>
      </c>
      <c r="G5248" s="537">
        <f>SUBTOTAL(9,G5205:G5247)</f>
        <v>0</v>
      </c>
    </row>
    <row r="5249" spans="1:7" ht="19.899999999999999" customHeight="1" x14ac:dyDescent="0.2">
      <c r="A5249" s="533"/>
      <c r="B5249" s="534"/>
      <c r="C5249" s="535"/>
      <c r="D5249" s="535" t="s">
        <v>2043</v>
      </c>
      <c r="E5249" s="536"/>
      <c r="F5249" s="589" t="str">
        <f ca="1">"$/"&amp;G5182</f>
        <v>$/0</v>
      </c>
      <c r="G5249" s="537">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16" t="s">
        <v>31</v>
      </c>
      <c r="B5251" s="717"/>
      <c r="C5251" s="717"/>
      <c r="D5251" s="717"/>
      <c r="E5251" s="717"/>
      <c r="F5251" s="717"/>
      <c r="G5251" s="718"/>
    </row>
    <row r="5252" spans="1:7" ht="19.899999999999999" customHeight="1" x14ac:dyDescent="0.2">
      <c r="A5252" s="516" t="s">
        <v>711</v>
      </c>
      <c r="B5252" s="467" t="str">
        <f>Comitente</f>
        <v>DIRECCIÓN PROVINCIAL DE VIALIDAD</v>
      </c>
      <c r="C5252" s="468"/>
      <c r="D5252" s="469"/>
      <c r="E5252" s="469"/>
      <c r="F5252" s="470"/>
      <c r="G5252" s="517"/>
    </row>
    <row r="5253" spans="1:7" ht="19.899999999999999" customHeight="1" x14ac:dyDescent="0.2">
      <c r="A5253" s="516" t="s">
        <v>712</v>
      </c>
      <c r="B5253" s="467">
        <f>Contratista</f>
        <v>0</v>
      </c>
      <c r="C5253" s="471"/>
      <c r="D5253" s="471"/>
      <c r="E5253" s="471"/>
      <c r="F5253" s="467"/>
      <c r="G5253" s="518"/>
    </row>
    <row r="5254" spans="1:7" ht="19.899999999999999" customHeight="1" x14ac:dyDescent="0.2">
      <c r="A5254" s="516" t="s">
        <v>21</v>
      </c>
      <c r="B5254" s="467" t="str">
        <f>Obra</f>
        <v>OBRA BÁSICA Y PAVIMENTACIÓN CALLE GÜEMES</v>
      </c>
      <c r="C5254" s="471"/>
      <c r="D5254" s="471"/>
      <c r="E5254" s="471"/>
      <c r="F5254" s="467" t="s">
        <v>32</v>
      </c>
      <c r="G5254" s="518">
        <f>Fecha_Base</f>
        <v>0</v>
      </c>
    </row>
    <row r="5255" spans="1:7" ht="19.899999999999999" customHeight="1" x14ac:dyDescent="0.2">
      <c r="A5255" s="519" t="s">
        <v>710</v>
      </c>
      <c r="B5255" s="472" t="str">
        <f>Ubicación</f>
        <v>Rawson - Santa Lucia</v>
      </c>
      <c r="C5255" s="472"/>
      <c r="D5255" s="473"/>
      <c r="E5255" s="474"/>
      <c r="F5255" s="475"/>
      <c r="G5255" s="520"/>
    </row>
    <row r="5256" spans="1:7" ht="19.899999999999999" customHeight="1" x14ac:dyDescent="0.2">
      <c r="A5256" s="519" t="s">
        <v>33</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22</v>
      </c>
      <c r="B5257" s="477" t="str">
        <f>IFERROR(VLOOKUP(COUNTIF($A$1:A5257,"ANALISIS DE PRECIOS"),T_NumeroItem,2,FALSE),"")</f>
        <v/>
      </c>
      <c r="C5257" s="719">
        <f ca="1">IFERROR(VLOOKUP(B5257,T_Computo_Presupuesto,2,FALSE),0)</f>
        <v>0</v>
      </c>
      <c r="D5257" s="719"/>
      <c r="E5257" s="719"/>
      <c r="F5257" s="472" t="s">
        <v>23</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999</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1000</v>
      </c>
      <c r="D5261" s="482" t="s">
        <v>24</v>
      </c>
      <c r="E5261" s="482" t="s">
        <v>1001</v>
      </c>
      <c r="F5261" s="482" t="s">
        <v>1002</v>
      </c>
      <c r="G5261" s="481" t="s">
        <v>1003</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1004</v>
      </c>
      <c r="D5273" s="472" t="s">
        <v>1001</v>
      </c>
      <c r="E5273" s="538">
        <f>SUMPRODUCT(D5262:D5271,E5262:E5271)</f>
        <v>0</v>
      </c>
      <c r="F5273" s="472" t="s">
        <v>1005</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1006</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06" t="s">
        <v>576</v>
      </c>
      <c r="B5277" s="707"/>
      <c r="C5277" s="708" t="s">
        <v>0</v>
      </c>
      <c r="D5277" s="720" t="s">
        <v>1866</v>
      </c>
      <c r="E5277" s="720" t="s">
        <v>1865</v>
      </c>
      <c r="F5277" s="712" t="s">
        <v>1007</v>
      </c>
      <c r="G5277" s="714" t="s">
        <v>26</v>
      </c>
    </row>
    <row r="5278" spans="1:7" ht="19.899999999999999" customHeight="1" x14ac:dyDescent="0.2">
      <c r="A5278" s="491" t="s">
        <v>577</v>
      </c>
      <c r="B5278" s="491" t="s">
        <v>578</v>
      </c>
      <c r="C5278" s="709"/>
      <c r="D5278" s="721"/>
      <c r="E5278" s="711"/>
      <c r="F5278" s="713"/>
      <c r="G5278" s="715"/>
    </row>
    <row r="5279" spans="1:7" ht="19.899999999999999" customHeight="1" x14ac:dyDescent="0.2">
      <c r="A5279" s="527"/>
      <c r="B5279" s="175"/>
      <c r="C5279" s="469" t="s">
        <v>1008</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27</v>
      </c>
      <c r="G5289" s="531">
        <f>SUBTOTAL(9,G5280:G5288)</f>
        <v>0</v>
      </c>
    </row>
    <row r="5290" spans="1:7" ht="19.899999999999999" customHeight="1" x14ac:dyDescent="0.2">
      <c r="A5290" s="527"/>
      <c r="B5290" s="175"/>
      <c r="C5290" s="469" t="s">
        <v>713</v>
      </c>
      <c r="D5290" s="473"/>
      <c r="E5290" s="474"/>
      <c r="F5290" s="475"/>
      <c r="G5290" s="528"/>
    </row>
    <row r="5291" spans="1:7" ht="19.899999999999999" customHeight="1" x14ac:dyDescent="0.2">
      <c r="A5291" s="706" t="s">
        <v>576</v>
      </c>
      <c r="B5291" s="707"/>
      <c r="C5291" s="708" t="s">
        <v>0</v>
      </c>
      <c r="D5291" s="710" t="s">
        <v>24</v>
      </c>
      <c r="E5291" s="710" t="s">
        <v>1832</v>
      </c>
      <c r="F5291" s="712" t="s">
        <v>1007</v>
      </c>
      <c r="G5291" s="714" t="s">
        <v>26</v>
      </c>
    </row>
    <row r="5292" spans="1:7" ht="19.899999999999999" customHeight="1" x14ac:dyDescent="0.2">
      <c r="A5292" s="491" t="s">
        <v>577</v>
      </c>
      <c r="B5292" s="491" t="s">
        <v>578</v>
      </c>
      <c r="C5292" s="709"/>
      <c r="D5292" s="711"/>
      <c r="E5292" s="711"/>
      <c r="F5292" s="713"/>
      <c r="G5292" s="715"/>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28</v>
      </c>
      <c r="G5300" s="532">
        <f>SUBTOTAL(9,G5293:G5299)</f>
        <v>0</v>
      </c>
    </row>
    <row r="5301" spans="1:7" ht="19.899999999999999" customHeight="1" x14ac:dyDescent="0.2">
      <c r="A5301" s="527"/>
      <c r="B5301" s="175"/>
      <c r="C5301" s="469" t="s">
        <v>1014</v>
      </c>
      <c r="D5301" s="473"/>
      <c r="E5301" s="474"/>
      <c r="F5301" s="475"/>
      <c r="G5301" s="528"/>
    </row>
    <row r="5302" spans="1:7" ht="19.899999999999999" customHeight="1" x14ac:dyDescent="0.2">
      <c r="A5302" s="706" t="s">
        <v>576</v>
      </c>
      <c r="B5302" s="707"/>
      <c r="C5302" s="708" t="s">
        <v>0</v>
      </c>
      <c r="D5302" s="708" t="s">
        <v>1867</v>
      </c>
      <c r="E5302" s="710" t="s">
        <v>24</v>
      </c>
      <c r="F5302" s="712" t="s">
        <v>25</v>
      </c>
      <c r="G5302" s="714" t="s">
        <v>26</v>
      </c>
    </row>
    <row r="5303" spans="1:7" ht="19.899999999999999" customHeight="1" x14ac:dyDescent="0.2">
      <c r="A5303" s="491" t="s">
        <v>577</v>
      </c>
      <c r="B5303" s="491" t="s">
        <v>578</v>
      </c>
      <c r="C5303" s="709"/>
      <c r="D5303" s="709"/>
      <c r="E5303" s="711"/>
      <c r="F5303" s="713"/>
      <c r="G5303" s="715"/>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29</v>
      </c>
      <c r="G5315" s="532">
        <f>SUBTOTAL(9,G5304:G5314)</f>
        <v>0</v>
      </c>
    </row>
    <row r="5316" spans="1:7" ht="19.899999999999999" customHeight="1" x14ac:dyDescent="0.2">
      <c r="A5316" s="527"/>
      <c r="B5316" s="175"/>
      <c r="C5316" s="469" t="s">
        <v>1015</v>
      </c>
      <c r="D5316" s="473"/>
      <c r="E5316" s="474"/>
      <c r="F5316" s="475"/>
      <c r="G5316" s="528"/>
    </row>
    <row r="5317" spans="1:7" ht="19.899999999999999" customHeight="1" x14ac:dyDescent="0.2">
      <c r="A5317" s="706" t="s">
        <v>576</v>
      </c>
      <c r="B5317" s="707"/>
      <c r="C5317" s="708" t="s">
        <v>0</v>
      </c>
      <c r="D5317" s="708" t="s">
        <v>1867</v>
      </c>
      <c r="E5317" s="710" t="s">
        <v>24</v>
      </c>
      <c r="F5317" s="712" t="s">
        <v>25</v>
      </c>
      <c r="G5317" s="714" t="s">
        <v>26</v>
      </c>
    </row>
    <row r="5318" spans="1:7" ht="19.899999999999999" customHeight="1" x14ac:dyDescent="0.2">
      <c r="A5318" s="491" t="s">
        <v>577</v>
      </c>
      <c r="B5318" s="491" t="s">
        <v>578</v>
      </c>
      <c r="C5318" s="709"/>
      <c r="D5318" s="709"/>
      <c r="E5318" s="711"/>
      <c r="F5318" s="713"/>
      <c r="G5318" s="715"/>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1016</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1833</v>
      </c>
      <c r="E5323" s="586"/>
      <c r="F5323" s="587" t="str">
        <f ca="1">"$/"&amp;G5257</f>
        <v>$/0</v>
      </c>
      <c r="G5323" s="537">
        <f>SUBTOTAL(9,G5280:G5322)</f>
        <v>0</v>
      </c>
    </row>
    <row r="5324" spans="1:7" ht="19.899999999999999" customHeight="1" x14ac:dyDescent="0.2">
      <c r="A5324" s="533"/>
      <c r="B5324" s="534"/>
      <c r="C5324" s="535"/>
      <c r="D5324" s="535" t="s">
        <v>2043</v>
      </c>
      <c r="E5324" s="536"/>
      <c r="F5324" s="589" t="str">
        <f ca="1">"$/"&amp;G5257</f>
        <v>$/0</v>
      </c>
      <c r="G5324" s="537">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16" t="s">
        <v>31</v>
      </c>
      <c r="B5326" s="717"/>
      <c r="C5326" s="717"/>
      <c r="D5326" s="717"/>
      <c r="E5326" s="717"/>
      <c r="F5326" s="717"/>
      <c r="G5326" s="718"/>
    </row>
    <row r="5327" spans="1:7" ht="19.899999999999999" customHeight="1" x14ac:dyDescent="0.2">
      <c r="A5327" s="516" t="s">
        <v>711</v>
      </c>
      <c r="B5327" s="467" t="str">
        <f>Comitente</f>
        <v>DIRECCIÓN PROVINCIAL DE VIALIDAD</v>
      </c>
      <c r="C5327" s="468"/>
      <c r="D5327" s="469"/>
      <c r="E5327" s="469"/>
      <c r="F5327" s="470"/>
      <c r="G5327" s="517"/>
    </row>
    <row r="5328" spans="1:7" ht="19.899999999999999" customHeight="1" x14ac:dyDescent="0.2">
      <c r="A5328" s="516" t="s">
        <v>712</v>
      </c>
      <c r="B5328" s="467">
        <f>Contratista</f>
        <v>0</v>
      </c>
      <c r="C5328" s="471"/>
      <c r="D5328" s="471"/>
      <c r="E5328" s="471"/>
      <c r="F5328" s="467"/>
      <c r="G5328" s="518"/>
    </row>
    <row r="5329" spans="1:7" ht="19.899999999999999" customHeight="1" x14ac:dyDescent="0.2">
      <c r="A5329" s="516" t="s">
        <v>21</v>
      </c>
      <c r="B5329" s="467" t="str">
        <f>Obra</f>
        <v>OBRA BÁSICA Y PAVIMENTACIÓN CALLE GÜEMES</v>
      </c>
      <c r="C5329" s="471"/>
      <c r="D5329" s="471"/>
      <c r="E5329" s="471"/>
      <c r="F5329" s="467" t="s">
        <v>32</v>
      </c>
      <c r="G5329" s="518">
        <f>Fecha_Base</f>
        <v>0</v>
      </c>
    </row>
    <row r="5330" spans="1:7" ht="19.899999999999999" customHeight="1" x14ac:dyDescent="0.2">
      <c r="A5330" s="519" t="s">
        <v>710</v>
      </c>
      <c r="B5330" s="472" t="str">
        <f>Ubicación</f>
        <v>Rawson - Santa Lucia</v>
      </c>
      <c r="C5330" s="472"/>
      <c r="D5330" s="473"/>
      <c r="E5330" s="474"/>
      <c r="F5330" s="475"/>
      <c r="G5330" s="520"/>
    </row>
    <row r="5331" spans="1:7" ht="19.899999999999999" customHeight="1" x14ac:dyDescent="0.2">
      <c r="A5331" s="519" t="s">
        <v>33</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22</v>
      </c>
      <c r="B5332" s="477" t="str">
        <f>IFERROR(VLOOKUP(COUNTIF($A$1:A5332,"ANALISIS DE PRECIOS"),T_NumeroItem,2,FALSE),"")</f>
        <v/>
      </c>
      <c r="C5332" s="719">
        <f ca="1">IFERROR(VLOOKUP(B5332,T_Computo_Presupuesto,2,FALSE),0)</f>
        <v>0</v>
      </c>
      <c r="D5332" s="719"/>
      <c r="E5332" s="719"/>
      <c r="F5332" s="472" t="s">
        <v>23</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999</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1000</v>
      </c>
      <c r="D5336" s="482" t="s">
        <v>24</v>
      </c>
      <c r="E5336" s="482" t="s">
        <v>1001</v>
      </c>
      <c r="F5336" s="482" t="s">
        <v>1002</v>
      </c>
      <c r="G5336" s="481" t="s">
        <v>1003</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1004</v>
      </c>
      <c r="D5348" s="472" t="s">
        <v>1001</v>
      </c>
      <c r="E5348" s="538">
        <f>SUMPRODUCT(D5337:D5346,E5337:E5346)</f>
        <v>0</v>
      </c>
      <c r="F5348" s="472" t="s">
        <v>1005</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1006</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06" t="s">
        <v>576</v>
      </c>
      <c r="B5352" s="707"/>
      <c r="C5352" s="708" t="s">
        <v>0</v>
      </c>
      <c r="D5352" s="720" t="s">
        <v>1866</v>
      </c>
      <c r="E5352" s="720" t="s">
        <v>1865</v>
      </c>
      <c r="F5352" s="712" t="s">
        <v>1007</v>
      </c>
      <c r="G5352" s="714" t="s">
        <v>26</v>
      </c>
    </row>
    <row r="5353" spans="1:7" ht="19.899999999999999" customHeight="1" x14ac:dyDescent="0.2">
      <c r="A5353" s="491" t="s">
        <v>577</v>
      </c>
      <c r="B5353" s="491" t="s">
        <v>578</v>
      </c>
      <c r="C5353" s="709"/>
      <c r="D5353" s="721"/>
      <c r="E5353" s="711"/>
      <c r="F5353" s="713"/>
      <c r="G5353" s="715"/>
    </row>
    <row r="5354" spans="1:7" ht="19.899999999999999" customHeight="1" x14ac:dyDescent="0.2">
      <c r="A5354" s="527"/>
      <c r="B5354" s="175"/>
      <c r="C5354" s="469" t="s">
        <v>1008</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27</v>
      </c>
      <c r="G5364" s="531">
        <f>SUBTOTAL(9,G5355:G5363)</f>
        <v>0</v>
      </c>
    </row>
    <row r="5365" spans="1:7" ht="19.899999999999999" customHeight="1" x14ac:dyDescent="0.2">
      <c r="A5365" s="527"/>
      <c r="B5365" s="175"/>
      <c r="C5365" s="469" t="s">
        <v>713</v>
      </c>
      <c r="D5365" s="473"/>
      <c r="E5365" s="474"/>
      <c r="F5365" s="475"/>
      <c r="G5365" s="528"/>
    </row>
    <row r="5366" spans="1:7" ht="19.899999999999999" customHeight="1" x14ac:dyDescent="0.2">
      <c r="A5366" s="706" t="s">
        <v>576</v>
      </c>
      <c r="B5366" s="707"/>
      <c r="C5366" s="708" t="s">
        <v>0</v>
      </c>
      <c r="D5366" s="710" t="s">
        <v>24</v>
      </c>
      <c r="E5366" s="710" t="s">
        <v>1832</v>
      </c>
      <c r="F5366" s="712" t="s">
        <v>1007</v>
      </c>
      <c r="G5366" s="714" t="s">
        <v>26</v>
      </c>
    </row>
    <row r="5367" spans="1:7" ht="19.899999999999999" customHeight="1" x14ac:dyDescent="0.2">
      <c r="A5367" s="491" t="s">
        <v>577</v>
      </c>
      <c r="B5367" s="491" t="s">
        <v>578</v>
      </c>
      <c r="C5367" s="709"/>
      <c r="D5367" s="711"/>
      <c r="E5367" s="711"/>
      <c r="F5367" s="713"/>
      <c r="G5367" s="715"/>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28</v>
      </c>
      <c r="G5375" s="532">
        <f>SUBTOTAL(9,G5368:G5374)</f>
        <v>0</v>
      </c>
    </row>
    <row r="5376" spans="1:7" ht="19.899999999999999" customHeight="1" x14ac:dyDescent="0.2">
      <c r="A5376" s="527"/>
      <c r="B5376" s="175"/>
      <c r="C5376" s="469" t="s">
        <v>1014</v>
      </c>
      <c r="D5376" s="473"/>
      <c r="E5376" s="474"/>
      <c r="F5376" s="475"/>
      <c r="G5376" s="528"/>
    </row>
    <row r="5377" spans="1:7" ht="19.899999999999999" customHeight="1" x14ac:dyDescent="0.2">
      <c r="A5377" s="706" t="s">
        <v>576</v>
      </c>
      <c r="B5377" s="707"/>
      <c r="C5377" s="708" t="s">
        <v>0</v>
      </c>
      <c r="D5377" s="708" t="s">
        <v>1867</v>
      </c>
      <c r="E5377" s="710" t="s">
        <v>24</v>
      </c>
      <c r="F5377" s="712" t="s">
        <v>25</v>
      </c>
      <c r="G5377" s="714" t="s">
        <v>26</v>
      </c>
    </row>
    <row r="5378" spans="1:7" ht="19.899999999999999" customHeight="1" x14ac:dyDescent="0.2">
      <c r="A5378" s="491" t="s">
        <v>577</v>
      </c>
      <c r="B5378" s="491" t="s">
        <v>578</v>
      </c>
      <c r="C5378" s="709"/>
      <c r="D5378" s="709"/>
      <c r="E5378" s="711"/>
      <c r="F5378" s="713"/>
      <c r="G5378" s="715"/>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29</v>
      </c>
      <c r="G5390" s="532">
        <f>SUBTOTAL(9,G5379:G5389)</f>
        <v>0</v>
      </c>
    </row>
    <row r="5391" spans="1:7" ht="19.899999999999999" customHeight="1" x14ac:dyDescent="0.2">
      <c r="A5391" s="527"/>
      <c r="B5391" s="175"/>
      <c r="C5391" s="469" t="s">
        <v>1015</v>
      </c>
      <c r="D5391" s="473"/>
      <c r="E5391" s="474"/>
      <c r="F5391" s="475"/>
      <c r="G5391" s="528"/>
    </row>
    <row r="5392" spans="1:7" ht="19.899999999999999" customHeight="1" x14ac:dyDescent="0.2">
      <c r="A5392" s="706" t="s">
        <v>576</v>
      </c>
      <c r="B5392" s="707"/>
      <c r="C5392" s="708" t="s">
        <v>0</v>
      </c>
      <c r="D5392" s="708" t="s">
        <v>1867</v>
      </c>
      <c r="E5392" s="710" t="s">
        <v>24</v>
      </c>
      <c r="F5392" s="712" t="s">
        <v>25</v>
      </c>
      <c r="G5392" s="714" t="s">
        <v>26</v>
      </c>
    </row>
    <row r="5393" spans="1:7" ht="19.899999999999999" customHeight="1" x14ac:dyDescent="0.2">
      <c r="A5393" s="491" t="s">
        <v>577</v>
      </c>
      <c r="B5393" s="491" t="s">
        <v>578</v>
      </c>
      <c r="C5393" s="709"/>
      <c r="D5393" s="709"/>
      <c r="E5393" s="711"/>
      <c r="F5393" s="713"/>
      <c r="G5393" s="715"/>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1016</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1833</v>
      </c>
      <c r="E5398" s="586"/>
      <c r="F5398" s="587" t="str">
        <f ca="1">"$/"&amp;G5332</f>
        <v>$/0</v>
      </c>
      <c r="G5398" s="537">
        <f>SUBTOTAL(9,G5355:G5397)</f>
        <v>0</v>
      </c>
    </row>
    <row r="5399" spans="1:7" ht="19.899999999999999" customHeight="1" x14ac:dyDescent="0.2">
      <c r="A5399" s="533"/>
      <c r="B5399" s="534"/>
      <c r="C5399" s="535"/>
      <c r="D5399" s="535" t="s">
        <v>2043</v>
      </c>
      <c r="E5399" s="536"/>
      <c r="F5399" s="589" t="str">
        <f ca="1">"$/"&amp;G5332</f>
        <v>$/0</v>
      </c>
      <c r="G5399" s="537">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16" t="s">
        <v>31</v>
      </c>
      <c r="B5401" s="717"/>
      <c r="C5401" s="717"/>
      <c r="D5401" s="717"/>
      <c r="E5401" s="717"/>
      <c r="F5401" s="717"/>
      <c r="G5401" s="718"/>
    </row>
    <row r="5402" spans="1:7" ht="19.899999999999999" customHeight="1" x14ac:dyDescent="0.2">
      <c r="A5402" s="516" t="s">
        <v>711</v>
      </c>
      <c r="B5402" s="467" t="str">
        <f>Comitente</f>
        <v>DIRECCIÓN PROVINCIAL DE VIALIDAD</v>
      </c>
      <c r="C5402" s="468"/>
      <c r="D5402" s="469"/>
      <c r="E5402" s="469"/>
      <c r="F5402" s="470"/>
      <c r="G5402" s="517"/>
    </row>
    <row r="5403" spans="1:7" ht="19.899999999999999" customHeight="1" x14ac:dyDescent="0.2">
      <c r="A5403" s="516" t="s">
        <v>712</v>
      </c>
      <c r="B5403" s="467">
        <f>Contratista</f>
        <v>0</v>
      </c>
      <c r="C5403" s="471"/>
      <c r="D5403" s="471"/>
      <c r="E5403" s="471"/>
      <c r="F5403" s="467"/>
      <c r="G5403" s="518"/>
    </row>
    <row r="5404" spans="1:7" ht="19.899999999999999" customHeight="1" x14ac:dyDescent="0.2">
      <c r="A5404" s="516" t="s">
        <v>21</v>
      </c>
      <c r="B5404" s="467" t="str">
        <f>Obra</f>
        <v>OBRA BÁSICA Y PAVIMENTACIÓN CALLE GÜEMES</v>
      </c>
      <c r="C5404" s="471"/>
      <c r="D5404" s="471"/>
      <c r="E5404" s="471"/>
      <c r="F5404" s="467" t="s">
        <v>32</v>
      </c>
      <c r="G5404" s="518">
        <f>Fecha_Base</f>
        <v>0</v>
      </c>
    </row>
    <row r="5405" spans="1:7" ht="19.899999999999999" customHeight="1" x14ac:dyDescent="0.2">
      <c r="A5405" s="519" t="s">
        <v>710</v>
      </c>
      <c r="B5405" s="472" t="str">
        <f>Ubicación</f>
        <v>Rawson - Santa Lucia</v>
      </c>
      <c r="C5405" s="472"/>
      <c r="D5405" s="473"/>
      <c r="E5405" s="474"/>
      <c r="F5405" s="475"/>
      <c r="G5405" s="520"/>
    </row>
    <row r="5406" spans="1:7" ht="19.899999999999999" customHeight="1" x14ac:dyDescent="0.2">
      <c r="A5406" s="519" t="s">
        <v>33</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22</v>
      </c>
      <c r="B5407" s="477" t="str">
        <f>IFERROR(VLOOKUP(COUNTIF($A$1:A5407,"ANALISIS DE PRECIOS"),T_NumeroItem,2,FALSE),"")</f>
        <v/>
      </c>
      <c r="C5407" s="719">
        <f ca="1">IFERROR(VLOOKUP(B5407,T_Computo_Presupuesto,2,FALSE),0)</f>
        <v>0</v>
      </c>
      <c r="D5407" s="719"/>
      <c r="E5407" s="719"/>
      <c r="F5407" s="472" t="s">
        <v>23</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999</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1000</v>
      </c>
      <c r="D5411" s="482" t="s">
        <v>24</v>
      </c>
      <c r="E5411" s="482" t="s">
        <v>1001</v>
      </c>
      <c r="F5411" s="482" t="s">
        <v>1002</v>
      </c>
      <c r="G5411" s="481" t="s">
        <v>1003</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1004</v>
      </c>
      <c r="D5423" s="472" t="s">
        <v>1001</v>
      </c>
      <c r="E5423" s="538">
        <f>SUMPRODUCT(D5412:D5421,E5412:E5421)</f>
        <v>0</v>
      </c>
      <c r="F5423" s="472" t="s">
        <v>1005</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1006</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06" t="s">
        <v>576</v>
      </c>
      <c r="B5427" s="707"/>
      <c r="C5427" s="708" t="s">
        <v>0</v>
      </c>
      <c r="D5427" s="720" t="s">
        <v>1866</v>
      </c>
      <c r="E5427" s="720" t="s">
        <v>1865</v>
      </c>
      <c r="F5427" s="712" t="s">
        <v>1007</v>
      </c>
      <c r="G5427" s="714" t="s">
        <v>26</v>
      </c>
    </row>
    <row r="5428" spans="1:7" ht="19.899999999999999" customHeight="1" x14ac:dyDescent="0.2">
      <c r="A5428" s="491" t="s">
        <v>577</v>
      </c>
      <c r="B5428" s="491" t="s">
        <v>578</v>
      </c>
      <c r="C5428" s="709"/>
      <c r="D5428" s="721"/>
      <c r="E5428" s="711"/>
      <c r="F5428" s="713"/>
      <c r="G5428" s="715"/>
    </row>
    <row r="5429" spans="1:7" ht="19.899999999999999" customHeight="1" x14ac:dyDescent="0.2">
      <c r="A5429" s="527"/>
      <c r="B5429" s="175"/>
      <c r="C5429" s="469" t="s">
        <v>1008</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27</v>
      </c>
      <c r="G5439" s="531">
        <f>SUBTOTAL(9,G5430:G5438)</f>
        <v>0</v>
      </c>
    </row>
    <row r="5440" spans="1:7" ht="19.899999999999999" customHeight="1" x14ac:dyDescent="0.2">
      <c r="A5440" s="527"/>
      <c r="B5440" s="175"/>
      <c r="C5440" s="469" t="s">
        <v>713</v>
      </c>
      <c r="D5440" s="473"/>
      <c r="E5440" s="474"/>
      <c r="F5440" s="475"/>
      <c r="G5440" s="528"/>
    </row>
    <row r="5441" spans="1:7" ht="19.899999999999999" customHeight="1" x14ac:dyDescent="0.2">
      <c r="A5441" s="706" t="s">
        <v>576</v>
      </c>
      <c r="B5441" s="707"/>
      <c r="C5441" s="708" t="s">
        <v>0</v>
      </c>
      <c r="D5441" s="710" t="s">
        <v>24</v>
      </c>
      <c r="E5441" s="710" t="s">
        <v>1832</v>
      </c>
      <c r="F5441" s="712" t="s">
        <v>1007</v>
      </c>
      <c r="G5441" s="714" t="s">
        <v>26</v>
      </c>
    </row>
    <row r="5442" spans="1:7" ht="19.899999999999999" customHeight="1" x14ac:dyDescent="0.2">
      <c r="A5442" s="491" t="s">
        <v>577</v>
      </c>
      <c r="B5442" s="491" t="s">
        <v>578</v>
      </c>
      <c r="C5442" s="709"/>
      <c r="D5442" s="711"/>
      <c r="E5442" s="711"/>
      <c r="F5442" s="713"/>
      <c r="G5442" s="715"/>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28</v>
      </c>
      <c r="G5450" s="532">
        <f>SUBTOTAL(9,G5443:G5449)</f>
        <v>0</v>
      </c>
    </row>
    <row r="5451" spans="1:7" ht="19.899999999999999" customHeight="1" x14ac:dyDescent="0.2">
      <c r="A5451" s="527"/>
      <c r="B5451" s="175"/>
      <c r="C5451" s="469" t="s">
        <v>1014</v>
      </c>
      <c r="D5451" s="473"/>
      <c r="E5451" s="474"/>
      <c r="F5451" s="475"/>
      <c r="G5451" s="528"/>
    </row>
    <row r="5452" spans="1:7" ht="19.899999999999999" customHeight="1" x14ac:dyDescent="0.2">
      <c r="A5452" s="706" t="s">
        <v>576</v>
      </c>
      <c r="B5452" s="707"/>
      <c r="C5452" s="708" t="s">
        <v>0</v>
      </c>
      <c r="D5452" s="708" t="s">
        <v>1867</v>
      </c>
      <c r="E5452" s="710" t="s">
        <v>24</v>
      </c>
      <c r="F5452" s="712" t="s">
        <v>25</v>
      </c>
      <c r="G5452" s="714" t="s">
        <v>26</v>
      </c>
    </row>
    <row r="5453" spans="1:7" ht="19.899999999999999" customHeight="1" x14ac:dyDescent="0.2">
      <c r="A5453" s="491" t="s">
        <v>577</v>
      </c>
      <c r="B5453" s="491" t="s">
        <v>578</v>
      </c>
      <c r="C5453" s="709"/>
      <c r="D5453" s="709"/>
      <c r="E5453" s="711"/>
      <c r="F5453" s="713"/>
      <c r="G5453" s="715"/>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29</v>
      </c>
      <c r="G5465" s="532">
        <f>SUBTOTAL(9,G5454:G5464)</f>
        <v>0</v>
      </c>
    </row>
    <row r="5466" spans="1:7" ht="19.899999999999999" customHeight="1" x14ac:dyDescent="0.2">
      <c r="A5466" s="527"/>
      <c r="B5466" s="175"/>
      <c r="C5466" s="469" t="s">
        <v>1015</v>
      </c>
      <c r="D5466" s="473"/>
      <c r="E5466" s="474"/>
      <c r="F5466" s="475"/>
      <c r="G5466" s="528"/>
    </row>
    <row r="5467" spans="1:7" ht="19.899999999999999" customHeight="1" x14ac:dyDescent="0.2">
      <c r="A5467" s="706" t="s">
        <v>576</v>
      </c>
      <c r="B5467" s="707"/>
      <c r="C5467" s="708" t="s">
        <v>0</v>
      </c>
      <c r="D5467" s="708" t="s">
        <v>1867</v>
      </c>
      <c r="E5467" s="710" t="s">
        <v>24</v>
      </c>
      <c r="F5467" s="712" t="s">
        <v>25</v>
      </c>
      <c r="G5467" s="714" t="s">
        <v>26</v>
      </c>
    </row>
    <row r="5468" spans="1:7" ht="19.899999999999999" customHeight="1" x14ac:dyDescent="0.2">
      <c r="A5468" s="491" t="s">
        <v>577</v>
      </c>
      <c r="B5468" s="491" t="s">
        <v>578</v>
      </c>
      <c r="C5468" s="709"/>
      <c r="D5468" s="709"/>
      <c r="E5468" s="711"/>
      <c r="F5468" s="713"/>
      <c r="G5468" s="715"/>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1016</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1833</v>
      </c>
      <c r="E5473" s="586"/>
      <c r="F5473" s="587" t="str">
        <f ca="1">"$/"&amp;G5407</f>
        <v>$/0</v>
      </c>
      <c r="G5473" s="537">
        <f>SUBTOTAL(9,G5430:G5472)</f>
        <v>0</v>
      </c>
    </row>
    <row r="5474" spans="1:7" ht="19.899999999999999" customHeight="1" x14ac:dyDescent="0.2">
      <c r="A5474" s="533"/>
      <c r="B5474" s="534"/>
      <c r="C5474" s="535"/>
      <c r="D5474" s="535" t="s">
        <v>2043</v>
      </c>
      <c r="E5474" s="536"/>
      <c r="F5474" s="589" t="str">
        <f ca="1">"$/"&amp;G5407</f>
        <v>$/0</v>
      </c>
      <c r="G5474" s="537">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16" t="s">
        <v>31</v>
      </c>
      <c r="B5476" s="717"/>
      <c r="C5476" s="717"/>
      <c r="D5476" s="717"/>
      <c r="E5476" s="717"/>
      <c r="F5476" s="717"/>
      <c r="G5476" s="718"/>
    </row>
    <row r="5477" spans="1:7" ht="19.899999999999999" customHeight="1" x14ac:dyDescent="0.2">
      <c r="A5477" s="516" t="s">
        <v>711</v>
      </c>
      <c r="B5477" s="467" t="str">
        <f>Comitente</f>
        <v>DIRECCIÓN PROVINCIAL DE VIALIDAD</v>
      </c>
      <c r="C5477" s="468"/>
      <c r="D5477" s="469"/>
      <c r="E5477" s="469"/>
      <c r="F5477" s="470"/>
      <c r="G5477" s="517"/>
    </row>
    <row r="5478" spans="1:7" ht="19.899999999999999" customHeight="1" x14ac:dyDescent="0.2">
      <c r="A5478" s="516" t="s">
        <v>712</v>
      </c>
      <c r="B5478" s="467">
        <f>Contratista</f>
        <v>0</v>
      </c>
      <c r="C5478" s="471"/>
      <c r="D5478" s="471"/>
      <c r="E5478" s="471"/>
      <c r="F5478" s="467"/>
      <c r="G5478" s="518"/>
    </row>
    <row r="5479" spans="1:7" ht="19.899999999999999" customHeight="1" x14ac:dyDescent="0.2">
      <c r="A5479" s="516" t="s">
        <v>21</v>
      </c>
      <c r="B5479" s="467" t="str">
        <f>Obra</f>
        <v>OBRA BÁSICA Y PAVIMENTACIÓN CALLE GÜEMES</v>
      </c>
      <c r="C5479" s="471"/>
      <c r="D5479" s="471"/>
      <c r="E5479" s="471"/>
      <c r="F5479" s="467" t="s">
        <v>32</v>
      </c>
      <c r="G5479" s="518">
        <f>Fecha_Base</f>
        <v>0</v>
      </c>
    </row>
    <row r="5480" spans="1:7" ht="19.899999999999999" customHeight="1" x14ac:dyDescent="0.2">
      <c r="A5480" s="519" t="s">
        <v>710</v>
      </c>
      <c r="B5480" s="472" t="str">
        <f>Ubicación</f>
        <v>Rawson - Santa Lucia</v>
      </c>
      <c r="C5480" s="472"/>
      <c r="D5480" s="473"/>
      <c r="E5480" s="474"/>
      <c r="F5480" s="475"/>
      <c r="G5480" s="520"/>
    </row>
    <row r="5481" spans="1:7" ht="19.899999999999999" customHeight="1" x14ac:dyDescent="0.2">
      <c r="A5481" s="519" t="s">
        <v>33</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22</v>
      </c>
      <c r="B5482" s="477" t="str">
        <f>IFERROR(VLOOKUP(COUNTIF($A$1:A5482,"ANALISIS DE PRECIOS"),T_NumeroItem,2,FALSE),"")</f>
        <v/>
      </c>
      <c r="C5482" s="719">
        <f ca="1">IFERROR(VLOOKUP(B5482,T_Computo_Presupuesto,2,FALSE),0)</f>
        <v>0</v>
      </c>
      <c r="D5482" s="719"/>
      <c r="E5482" s="719"/>
      <c r="F5482" s="472" t="s">
        <v>23</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999</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1000</v>
      </c>
      <c r="D5486" s="482" t="s">
        <v>24</v>
      </c>
      <c r="E5486" s="482" t="s">
        <v>1001</v>
      </c>
      <c r="F5486" s="482" t="s">
        <v>1002</v>
      </c>
      <c r="G5486" s="481" t="s">
        <v>1003</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1004</v>
      </c>
      <c r="D5498" s="472" t="s">
        <v>1001</v>
      </c>
      <c r="E5498" s="538">
        <f>SUMPRODUCT(D5487:D5496,E5487:E5496)</f>
        <v>0</v>
      </c>
      <c r="F5498" s="472" t="s">
        <v>1005</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1006</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06" t="s">
        <v>576</v>
      </c>
      <c r="B5502" s="707"/>
      <c r="C5502" s="708" t="s">
        <v>0</v>
      </c>
      <c r="D5502" s="720" t="s">
        <v>1866</v>
      </c>
      <c r="E5502" s="720" t="s">
        <v>1865</v>
      </c>
      <c r="F5502" s="712" t="s">
        <v>1007</v>
      </c>
      <c r="G5502" s="714" t="s">
        <v>26</v>
      </c>
    </row>
    <row r="5503" spans="1:7" ht="19.899999999999999" customHeight="1" x14ac:dyDescent="0.2">
      <c r="A5503" s="491" t="s">
        <v>577</v>
      </c>
      <c r="B5503" s="491" t="s">
        <v>578</v>
      </c>
      <c r="C5503" s="709"/>
      <c r="D5503" s="721"/>
      <c r="E5503" s="711"/>
      <c r="F5503" s="713"/>
      <c r="G5503" s="715"/>
    </row>
    <row r="5504" spans="1:7" ht="19.899999999999999" customHeight="1" x14ac:dyDescent="0.2">
      <c r="A5504" s="527"/>
      <c r="B5504" s="175"/>
      <c r="C5504" s="469" t="s">
        <v>1008</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27</v>
      </c>
      <c r="G5514" s="531">
        <f>SUBTOTAL(9,G5505:G5513)</f>
        <v>0</v>
      </c>
    </row>
    <row r="5515" spans="1:7" ht="19.899999999999999" customHeight="1" x14ac:dyDescent="0.2">
      <c r="A5515" s="527"/>
      <c r="B5515" s="175"/>
      <c r="C5515" s="469" t="s">
        <v>713</v>
      </c>
      <c r="D5515" s="473"/>
      <c r="E5515" s="474"/>
      <c r="F5515" s="475"/>
      <c r="G5515" s="528"/>
    </row>
    <row r="5516" spans="1:7" ht="19.899999999999999" customHeight="1" x14ac:dyDescent="0.2">
      <c r="A5516" s="706" t="s">
        <v>576</v>
      </c>
      <c r="B5516" s="707"/>
      <c r="C5516" s="708" t="s">
        <v>0</v>
      </c>
      <c r="D5516" s="710" t="s">
        <v>24</v>
      </c>
      <c r="E5516" s="710" t="s">
        <v>1832</v>
      </c>
      <c r="F5516" s="712" t="s">
        <v>1007</v>
      </c>
      <c r="G5516" s="714" t="s">
        <v>26</v>
      </c>
    </row>
    <row r="5517" spans="1:7" ht="19.899999999999999" customHeight="1" x14ac:dyDescent="0.2">
      <c r="A5517" s="491" t="s">
        <v>577</v>
      </c>
      <c r="B5517" s="491" t="s">
        <v>578</v>
      </c>
      <c r="C5517" s="709"/>
      <c r="D5517" s="711"/>
      <c r="E5517" s="711"/>
      <c r="F5517" s="713"/>
      <c r="G5517" s="715"/>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28</v>
      </c>
      <c r="G5525" s="532">
        <f>SUBTOTAL(9,G5518:G5524)</f>
        <v>0</v>
      </c>
    </row>
    <row r="5526" spans="1:7" ht="19.899999999999999" customHeight="1" x14ac:dyDescent="0.2">
      <c r="A5526" s="527"/>
      <c r="B5526" s="175"/>
      <c r="C5526" s="469" t="s">
        <v>1014</v>
      </c>
      <c r="D5526" s="473"/>
      <c r="E5526" s="474"/>
      <c r="F5526" s="475"/>
      <c r="G5526" s="528"/>
    </row>
    <row r="5527" spans="1:7" ht="19.899999999999999" customHeight="1" x14ac:dyDescent="0.2">
      <c r="A5527" s="706" t="s">
        <v>576</v>
      </c>
      <c r="B5527" s="707"/>
      <c r="C5527" s="708" t="s">
        <v>0</v>
      </c>
      <c r="D5527" s="708" t="s">
        <v>1867</v>
      </c>
      <c r="E5527" s="710" t="s">
        <v>24</v>
      </c>
      <c r="F5527" s="712" t="s">
        <v>25</v>
      </c>
      <c r="G5527" s="714" t="s">
        <v>26</v>
      </c>
    </row>
    <row r="5528" spans="1:7" ht="19.899999999999999" customHeight="1" x14ac:dyDescent="0.2">
      <c r="A5528" s="491" t="s">
        <v>577</v>
      </c>
      <c r="B5528" s="491" t="s">
        <v>578</v>
      </c>
      <c r="C5528" s="709"/>
      <c r="D5528" s="709"/>
      <c r="E5528" s="711"/>
      <c r="F5528" s="713"/>
      <c r="G5528" s="715"/>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29</v>
      </c>
      <c r="G5540" s="532">
        <f>SUBTOTAL(9,G5529:G5539)</f>
        <v>0</v>
      </c>
    </row>
    <row r="5541" spans="1:7" ht="19.899999999999999" customHeight="1" x14ac:dyDescent="0.2">
      <c r="A5541" s="527"/>
      <c r="B5541" s="175"/>
      <c r="C5541" s="469" t="s">
        <v>1015</v>
      </c>
      <c r="D5541" s="473"/>
      <c r="E5541" s="474"/>
      <c r="F5541" s="475"/>
      <c r="G5541" s="528"/>
    </row>
    <row r="5542" spans="1:7" ht="19.899999999999999" customHeight="1" x14ac:dyDescent="0.2">
      <c r="A5542" s="706" t="s">
        <v>576</v>
      </c>
      <c r="B5542" s="707"/>
      <c r="C5542" s="708" t="s">
        <v>0</v>
      </c>
      <c r="D5542" s="708" t="s">
        <v>1867</v>
      </c>
      <c r="E5542" s="710" t="s">
        <v>24</v>
      </c>
      <c r="F5542" s="712" t="s">
        <v>25</v>
      </c>
      <c r="G5542" s="714" t="s">
        <v>26</v>
      </c>
    </row>
    <row r="5543" spans="1:7" ht="19.899999999999999" customHeight="1" x14ac:dyDescent="0.2">
      <c r="A5543" s="491" t="s">
        <v>577</v>
      </c>
      <c r="B5543" s="491" t="s">
        <v>578</v>
      </c>
      <c r="C5543" s="709"/>
      <c r="D5543" s="709"/>
      <c r="E5543" s="711"/>
      <c r="F5543" s="713"/>
      <c r="G5543" s="715"/>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1016</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1833</v>
      </c>
      <c r="E5548" s="586"/>
      <c r="F5548" s="587" t="str">
        <f ca="1">"$/"&amp;G5482</f>
        <v>$/0</v>
      </c>
      <c r="G5548" s="537">
        <f>SUBTOTAL(9,G5505:G5547)</f>
        <v>0</v>
      </c>
    </row>
    <row r="5549" spans="1:7" ht="19.899999999999999" customHeight="1" x14ac:dyDescent="0.2">
      <c r="A5549" s="533"/>
      <c r="B5549" s="534"/>
      <c r="C5549" s="535"/>
      <c r="D5549" s="535" t="s">
        <v>2043</v>
      </c>
      <c r="E5549" s="536"/>
      <c r="F5549" s="589" t="str">
        <f ca="1">"$/"&amp;G5482</f>
        <v>$/0</v>
      </c>
      <c r="G5549" s="537">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16" t="s">
        <v>31</v>
      </c>
      <c r="B5551" s="717"/>
      <c r="C5551" s="717"/>
      <c r="D5551" s="717"/>
      <c r="E5551" s="717"/>
      <c r="F5551" s="717"/>
      <c r="G5551" s="718"/>
    </row>
    <row r="5552" spans="1:7" ht="19.899999999999999" customHeight="1" x14ac:dyDescent="0.2">
      <c r="A5552" s="516" t="s">
        <v>711</v>
      </c>
      <c r="B5552" s="467" t="str">
        <f>Comitente</f>
        <v>DIRECCIÓN PROVINCIAL DE VIALIDAD</v>
      </c>
      <c r="C5552" s="468"/>
      <c r="D5552" s="469"/>
      <c r="E5552" s="469"/>
      <c r="F5552" s="470"/>
      <c r="G5552" s="517"/>
    </row>
    <row r="5553" spans="1:7" ht="19.899999999999999" customHeight="1" x14ac:dyDescent="0.2">
      <c r="A5553" s="516" t="s">
        <v>712</v>
      </c>
      <c r="B5553" s="467">
        <f>Contratista</f>
        <v>0</v>
      </c>
      <c r="C5553" s="471"/>
      <c r="D5553" s="471"/>
      <c r="E5553" s="471"/>
      <c r="F5553" s="467"/>
      <c r="G5553" s="518"/>
    </row>
    <row r="5554" spans="1:7" ht="19.899999999999999" customHeight="1" x14ac:dyDescent="0.2">
      <c r="A5554" s="516" t="s">
        <v>21</v>
      </c>
      <c r="B5554" s="467" t="str">
        <f>Obra</f>
        <v>OBRA BÁSICA Y PAVIMENTACIÓN CALLE GÜEMES</v>
      </c>
      <c r="C5554" s="471"/>
      <c r="D5554" s="471"/>
      <c r="E5554" s="471"/>
      <c r="F5554" s="467" t="s">
        <v>32</v>
      </c>
      <c r="G5554" s="518">
        <f>Fecha_Base</f>
        <v>0</v>
      </c>
    </row>
    <row r="5555" spans="1:7" ht="19.899999999999999" customHeight="1" x14ac:dyDescent="0.2">
      <c r="A5555" s="519" t="s">
        <v>710</v>
      </c>
      <c r="B5555" s="472" t="str">
        <f>Ubicación</f>
        <v>Rawson - Santa Lucia</v>
      </c>
      <c r="C5555" s="472"/>
      <c r="D5555" s="473"/>
      <c r="E5555" s="474"/>
      <c r="F5555" s="475"/>
      <c r="G5555" s="520"/>
    </row>
    <row r="5556" spans="1:7" ht="19.899999999999999" customHeight="1" x14ac:dyDescent="0.2">
      <c r="A5556" s="519" t="s">
        <v>33</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22</v>
      </c>
      <c r="B5557" s="477" t="str">
        <f>IFERROR(VLOOKUP(COUNTIF($A$1:A5557,"ANALISIS DE PRECIOS"),T_NumeroItem,2,FALSE),"")</f>
        <v/>
      </c>
      <c r="C5557" s="719">
        <f ca="1">IFERROR(VLOOKUP(B5557,T_Computo_Presupuesto,2,FALSE),0)</f>
        <v>0</v>
      </c>
      <c r="D5557" s="719"/>
      <c r="E5557" s="719"/>
      <c r="F5557" s="472" t="s">
        <v>23</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999</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1000</v>
      </c>
      <c r="D5561" s="482" t="s">
        <v>24</v>
      </c>
      <c r="E5561" s="482" t="s">
        <v>1001</v>
      </c>
      <c r="F5561" s="482" t="s">
        <v>1002</v>
      </c>
      <c r="G5561" s="481" t="s">
        <v>1003</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1004</v>
      </c>
      <c r="D5573" s="472" t="s">
        <v>1001</v>
      </c>
      <c r="E5573" s="538">
        <f>SUMPRODUCT(D5562:D5571,E5562:E5571)</f>
        <v>0</v>
      </c>
      <c r="F5573" s="472" t="s">
        <v>1005</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1006</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06" t="s">
        <v>576</v>
      </c>
      <c r="B5577" s="707"/>
      <c r="C5577" s="708" t="s">
        <v>0</v>
      </c>
      <c r="D5577" s="720" t="s">
        <v>1866</v>
      </c>
      <c r="E5577" s="720" t="s">
        <v>1865</v>
      </c>
      <c r="F5577" s="712" t="s">
        <v>1007</v>
      </c>
      <c r="G5577" s="714" t="s">
        <v>26</v>
      </c>
    </row>
    <row r="5578" spans="1:7" ht="19.899999999999999" customHeight="1" x14ac:dyDescent="0.2">
      <c r="A5578" s="491" t="s">
        <v>577</v>
      </c>
      <c r="B5578" s="491" t="s">
        <v>578</v>
      </c>
      <c r="C5578" s="709"/>
      <c r="D5578" s="721"/>
      <c r="E5578" s="711"/>
      <c r="F5578" s="713"/>
      <c r="G5578" s="715"/>
    </row>
    <row r="5579" spans="1:7" ht="19.899999999999999" customHeight="1" x14ac:dyDescent="0.2">
      <c r="A5579" s="527"/>
      <c r="B5579" s="175"/>
      <c r="C5579" s="469" t="s">
        <v>1008</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27</v>
      </c>
      <c r="G5589" s="531">
        <f>SUBTOTAL(9,G5580:G5588)</f>
        <v>0</v>
      </c>
    </row>
    <row r="5590" spans="1:7" ht="19.899999999999999" customHeight="1" x14ac:dyDescent="0.2">
      <c r="A5590" s="527"/>
      <c r="B5590" s="175"/>
      <c r="C5590" s="469" t="s">
        <v>713</v>
      </c>
      <c r="D5590" s="473"/>
      <c r="E5590" s="474"/>
      <c r="F5590" s="475"/>
      <c r="G5590" s="528"/>
    </row>
    <row r="5591" spans="1:7" ht="19.899999999999999" customHeight="1" x14ac:dyDescent="0.2">
      <c r="A5591" s="706" t="s">
        <v>576</v>
      </c>
      <c r="B5591" s="707"/>
      <c r="C5591" s="708" t="s">
        <v>0</v>
      </c>
      <c r="D5591" s="710" t="s">
        <v>24</v>
      </c>
      <c r="E5591" s="710" t="s">
        <v>1832</v>
      </c>
      <c r="F5591" s="712" t="s">
        <v>1007</v>
      </c>
      <c r="G5591" s="714" t="s">
        <v>26</v>
      </c>
    </row>
    <row r="5592" spans="1:7" ht="19.899999999999999" customHeight="1" x14ac:dyDescent="0.2">
      <c r="A5592" s="491" t="s">
        <v>577</v>
      </c>
      <c r="B5592" s="491" t="s">
        <v>578</v>
      </c>
      <c r="C5592" s="709"/>
      <c r="D5592" s="711"/>
      <c r="E5592" s="711"/>
      <c r="F5592" s="713"/>
      <c r="G5592" s="715"/>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28</v>
      </c>
      <c r="G5600" s="532">
        <f>SUBTOTAL(9,G5593:G5599)</f>
        <v>0</v>
      </c>
    </row>
    <row r="5601" spans="1:7" ht="19.899999999999999" customHeight="1" x14ac:dyDescent="0.2">
      <c r="A5601" s="527"/>
      <c r="B5601" s="175"/>
      <c r="C5601" s="469" t="s">
        <v>1014</v>
      </c>
      <c r="D5601" s="473"/>
      <c r="E5601" s="474"/>
      <c r="F5601" s="475"/>
      <c r="G5601" s="528"/>
    </row>
    <row r="5602" spans="1:7" ht="19.899999999999999" customHeight="1" x14ac:dyDescent="0.2">
      <c r="A5602" s="706" t="s">
        <v>576</v>
      </c>
      <c r="B5602" s="707"/>
      <c r="C5602" s="708" t="s">
        <v>0</v>
      </c>
      <c r="D5602" s="708" t="s">
        <v>1867</v>
      </c>
      <c r="E5602" s="710" t="s">
        <v>24</v>
      </c>
      <c r="F5602" s="712" t="s">
        <v>25</v>
      </c>
      <c r="G5602" s="714" t="s">
        <v>26</v>
      </c>
    </row>
    <row r="5603" spans="1:7" ht="19.899999999999999" customHeight="1" x14ac:dyDescent="0.2">
      <c r="A5603" s="491" t="s">
        <v>577</v>
      </c>
      <c r="B5603" s="491" t="s">
        <v>578</v>
      </c>
      <c r="C5603" s="709"/>
      <c r="D5603" s="709"/>
      <c r="E5603" s="711"/>
      <c r="F5603" s="713"/>
      <c r="G5603" s="715"/>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29</v>
      </c>
      <c r="G5615" s="532">
        <f>SUBTOTAL(9,G5604:G5614)</f>
        <v>0</v>
      </c>
    </row>
    <row r="5616" spans="1:7" ht="19.899999999999999" customHeight="1" x14ac:dyDescent="0.2">
      <c r="A5616" s="527"/>
      <c r="B5616" s="175"/>
      <c r="C5616" s="469" t="s">
        <v>1015</v>
      </c>
      <c r="D5616" s="473"/>
      <c r="E5616" s="474"/>
      <c r="F5616" s="475"/>
      <c r="G5616" s="528"/>
    </row>
    <row r="5617" spans="1:7" ht="19.899999999999999" customHeight="1" x14ac:dyDescent="0.2">
      <c r="A5617" s="706" t="s">
        <v>576</v>
      </c>
      <c r="B5617" s="707"/>
      <c r="C5617" s="708" t="s">
        <v>0</v>
      </c>
      <c r="D5617" s="708" t="s">
        <v>1867</v>
      </c>
      <c r="E5617" s="710" t="s">
        <v>24</v>
      </c>
      <c r="F5617" s="712" t="s">
        <v>25</v>
      </c>
      <c r="G5617" s="714" t="s">
        <v>26</v>
      </c>
    </row>
    <row r="5618" spans="1:7" ht="19.899999999999999" customHeight="1" x14ac:dyDescent="0.2">
      <c r="A5618" s="491" t="s">
        <v>577</v>
      </c>
      <c r="B5618" s="491" t="s">
        <v>578</v>
      </c>
      <c r="C5618" s="709"/>
      <c r="D5618" s="709"/>
      <c r="E5618" s="711"/>
      <c r="F5618" s="713"/>
      <c r="G5618" s="715"/>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1016</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1833</v>
      </c>
      <c r="E5623" s="586"/>
      <c r="F5623" s="587" t="str">
        <f ca="1">"$/"&amp;G5557</f>
        <v>$/0</v>
      </c>
      <c r="G5623" s="537">
        <f>SUBTOTAL(9,G5580:G5622)</f>
        <v>0</v>
      </c>
    </row>
    <row r="5624" spans="1:7" ht="19.899999999999999" customHeight="1" x14ac:dyDescent="0.2">
      <c r="A5624" s="533"/>
      <c r="B5624" s="534"/>
      <c r="C5624" s="535"/>
      <c r="D5624" s="535" t="s">
        <v>2043</v>
      </c>
      <c r="E5624" s="536"/>
      <c r="F5624" s="589" t="str">
        <f ca="1">"$/"&amp;G5557</f>
        <v>$/0</v>
      </c>
      <c r="G5624" s="537">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16" t="s">
        <v>31</v>
      </c>
      <c r="B5626" s="717"/>
      <c r="C5626" s="717"/>
      <c r="D5626" s="717"/>
      <c r="E5626" s="717"/>
      <c r="F5626" s="717"/>
      <c r="G5626" s="718"/>
    </row>
    <row r="5627" spans="1:7" ht="19.899999999999999" customHeight="1" x14ac:dyDescent="0.2">
      <c r="A5627" s="516" t="s">
        <v>711</v>
      </c>
      <c r="B5627" s="467" t="str">
        <f>Comitente</f>
        <v>DIRECCIÓN PROVINCIAL DE VIALIDAD</v>
      </c>
      <c r="C5627" s="468"/>
      <c r="D5627" s="469"/>
      <c r="E5627" s="469"/>
      <c r="F5627" s="470"/>
      <c r="G5627" s="517"/>
    </row>
    <row r="5628" spans="1:7" ht="19.899999999999999" customHeight="1" x14ac:dyDescent="0.2">
      <c r="A5628" s="516" t="s">
        <v>712</v>
      </c>
      <c r="B5628" s="467">
        <f>Contratista</f>
        <v>0</v>
      </c>
      <c r="C5628" s="471"/>
      <c r="D5628" s="471"/>
      <c r="E5628" s="471"/>
      <c r="F5628" s="467"/>
      <c r="G5628" s="518"/>
    </row>
    <row r="5629" spans="1:7" ht="19.899999999999999" customHeight="1" x14ac:dyDescent="0.2">
      <c r="A5629" s="516" t="s">
        <v>21</v>
      </c>
      <c r="B5629" s="467" t="str">
        <f>Obra</f>
        <v>OBRA BÁSICA Y PAVIMENTACIÓN CALLE GÜEMES</v>
      </c>
      <c r="C5629" s="471"/>
      <c r="D5629" s="471"/>
      <c r="E5629" s="471"/>
      <c r="F5629" s="467" t="s">
        <v>32</v>
      </c>
      <c r="G5629" s="518">
        <f>Fecha_Base</f>
        <v>0</v>
      </c>
    </row>
    <row r="5630" spans="1:7" ht="19.899999999999999" customHeight="1" x14ac:dyDescent="0.2">
      <c r="A5630" s="519" t="s">
        <v>710</v>
      </c>
      <c r="B5630" s="472" t="str">
        <f>Ubicación</f>
        <v>Rawson - Santa Lucia</v>
      </c>
      <c r="C5630" s="472"/>
      <c r="D5630" s="473"/>
      <c r="E5630" s="474"/>
      <c r="F5630" s="475"/>
      <c r="G5630" s="520"/>
    </row>
    <row r="5631" spans="1:7" ht="19.899999999999999" customHeight="1" x14ac:dyDescent="0.2">
      <c r="A5631" s="519" t="s">
        <v>33</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22</v>
      </c>
      <c r="B5632" s="477" t="str">
        <f>IFERROR(VLOOKUP(COUNTIF($A$1:A5632,"ANALISIS DE PRECIOS"),T_NumeroItem,2,FALSE),"")</f>
        <v/>
      </c>
      <c r="C5632" s="719">
        <f ca="1">IFERROR(VLOOKUP(B5632,T_Computo_Presupuesto,2,FALSE),0)</f>
        <v>0</v>
      </c>
      <c r="D5632" s="719"/>
      <c r="E5632" s="719"/>
      <c r="F5632" s="472" t="s">
        <v>23</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999</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1000</v>
      </c>
      <c r="D5636" s="482" t="s">
        <v>24</v>
      </c>
      <c r="E5636" s="482" t="s">
        <v>1001</v>
      </c>
      <c r="F5636" s="482" t="s">
        <v>1002</v>
      </c>
      <c r="G5636" s="481" t="s">
        <v>1003</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1004</v>
      </c>
      <c r="D5648" s="472" t="s">
        <v>1001</v>
      </c>
      <c r="E5648" s="538">
        <f>SUMPRODUCT(D5637:D5646,E5637:E5646)</f>
        <v>0</v>
      </c>
      <c r="F5648" s="472" t="s">
        <v>1005</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1006</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06" t="s">
        <v>576</v>
      </c>
      <c r="B5652" s="707"/>
      <c r="C5652" s="708" t="s">
        <v>0</v>
      </c>
      <c r="D5652" s="720" t="s">
        <v>1866</v>
      </c>
      <c r="E5652" s="720" t="s">
        <v>1865</v>
      </c>
      <c r="F5652" s="712" t="s">
        <v>1007</v>
      </c>
      <c r="G5652" s="714" t="s">
        <v>26</v>
      </c>
    </row>
    <row r="5653" spans="1:7" ht="19.899999999999999" customHeight="1" x14ac:dyDescent="0.2">
      <c r="A5653" s="491" t="s">
        <v>577</v>
      </c>
      <c r="B5653" s="491" t="s">
        <v>578</v>
      </c>
      <c r="C5653" s="709"/>
      <c r="D5653" s="721"/>
      <c r="E5653" s="711"/>
      <c r="F5653" s="713"/>
      <c r="G5653" s="715"/>
    </row>
    <row r="5654" spans="1:7" ht="19.899999999999999" customHeight="1" x14ac:dyDescent="0.2">
      <c r="A5654" s="527"/>
      <c r="B5654" s="175"/>
      <c r="C5654" s="469" t="s">
        <v>1008</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27</v>
      </c>
      <c r="G5664" s="531">
        <f>SUBTOTAL(9,G5655:G5663)</f>
        <v>0</v>
      </c>
    </row>
    <row r="5665" spans="1:7" ht="19.899999999999999" customHeight="1" x14ac:dyDescent="0.2">
      <c r="A5665" s="527"/>
      <c r="B5665" s="175"/>
      <c r="C5665" s="469" t="s">
        <v>713</v>
      </c>
      <c r="D5665" s="473"/>
      <c r="E5665" s="474"/>
      <c r="F5665" s="475"/>
      <c r="G5665" s="528"/>
    </row>
    <row r="5666" spans="1:7" ht="19.899999999999999" customHeight="1" x14ac:dyDescent="0.2">
      <c r="A5666" s="706" t="s">
        <v>576</v>
      </c>
      <c r="B5666" s="707"/>
      <c r="C5666" s="708" t="s">
        <v>0</v>
      </c>
      <c r="D5666" s="710" t="s">
        <v>24</v>
      </c>
      <c r="E5666" s="710" t="s">
        <v>1832</v>
      </c>
      <c r="F5666" s="712" t="s">
        <v>1007</v>
      </c>
      <c r="G5666" s="714" t="s">
        <v>26</v>
      </c>
    </row>
    <row r="5667" spans="1:7" ht="19.899999999999999" customHeight="1" x14ac:dyDescent="0.2">
      <c r="A5667" s="491" t="s">
        <v>577</v>
      </c>
      <c r="B5667" s="491" t="s">
        <v>578</v>
      </c>
      <c r="C5667" s="709"/>
      <c r="D5667" s="711"/>
      <c r="E5667" s="711"/>
      <c r="F5667" s="713"/>
      <c r="G5667" s="715"/>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28</v>
      </c>
      <c r="G5675" s="532">
        <f>SUBTOTAL(9,G5668:G5674)</f>
        <v>0</v>
      </c>
    </row>
    <row r="5676" spans="1:7" ht="19.899999999999999" customHeight="1" x14ac:dyDescent="0.2">
      <c r="A5676" s="527"/>
      <c r="B5676" s="175"/>
      <c r="C5676" s="469" t="s">
        <v>1014</v>
      </c>
      <c r="D5676" s="473"/>
      <c r="E5676" s="474"/>
      <c r="F5676" s="475"/>
      <c r="G5676" s="528"/>
    </row>
    <row r="5677" spans="1:7" ht="19.899999999999999" customHeight="1" x14ac:dyDescent="0.2">
      <c r="A5677" s="706" t="s">
        <v>576</v>
      </c>
      <c r="B5677" s="707"/>
      <c r="C5677" s="708" t="s">
        <v>0</v>
      </c>
      <c r="D5677" s="708" t="s">
        <v>1867</v>
      </c>
      <c r="E5677" s="710" t="s">
        <v>24</v>
      </c>
      <c r="F5677" s="712" t="s">
        <v>25</v>
      </c>
      <c r="G5677" s="714" t="s">
        <v>26</v>
      </c>
    </row>
    <row r="5678" spans="1:7" ht="19.899999999999999" customHeight="1" x14ac:dyDescent="0.2">
      <c r="A5678" s="491" t="s">
        <v>577</v>
      </c>
      <c r="B5678" s="491" t="s">
        <v>578</v>
      </c>
      <c r="C5678" s="709"/>
      <c r="D5678" s="709"/>
      <c r="E5678" s="711"/>
      <c r="F5678" s="713"/>
      <c r="G5678" s="715"/>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29</v>
      </c>
      <c r="G5690" s="532">
        <f>SUBTOTAL(9,G5679:G5689)</f>
        <v>0</v>
      </c>
    </row>
    <row r="5691" spans="1:7" ht="19.899999999999999" customHeight="1" x14ac:dyDescent="0.2">
      <c r="A5691" s="527"/>
      <c r="B5691" s="175"/>
      <c r="C5691" s="469" t="s">
        <v>1015</v>
      </c>
      <c r="D5691" s="473"/>
      <c r="E5691" s="474"/>
      <c r="F5691" s="475"/>
      <c r="G5691" s="528"/>
    </row>
    <row r="5692" spans="1:7" ht="19.899999999999999" customHeight="1" x14ac:dyDescent="0.2">
      <c r="A5692" s="706" t="s">
        <v>576</v>
      </c>
      <c r="B5692" s="707"/>
      <c r="C5692" s="708" t="s">
        <v>0</v>
      </c>
      <c r="D5692" s="708" t="s">
        <v>1867</v>
      </c>
      <c r="E5692" s="710" t="s">
        <v>24</v>
      </c>
      <c r="F5692" s="712" t="s">
        <v>25</v>
      </c>
      <c r="G5692" s="714" t="s">
        <v>26</v>
      </c>
    </row>
    <row r="5693" spans="1:7" ht="19.899999999999999" customHeight="1" x14ac:dyDescent="0.2">
      <c r="A5693" s="491" t="s">
        <v>577</v>
      </c>
      <c r="B5693" s="491" t="s">
        <v>578</v>
      </c>
      <c r="C5693" s="709"/>
      <c r="D5693" s="709"/>
      <c r="E5693" s="711"/>
      <c r="F5693" s="713"/>
      <c r="G5693" s="715"/>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1016</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1833</v>
      </c>
      <c r="E5698" s="586"/>
      <c r="F5698" s="587" t="str">
        <f ca="1">"$/"&amp;G5632</f>
        <v>$/0</v>
      </c>
      <c r="G5698" s="537">
        <f>SUBTOTAL(9,G5655:G5697)</f>
        <v>0</v>
      </c>
    </row>
    <row r="5699" spans="1:7" ht="19.899999999999999" customHeight="1" x14ac:dyDescent="0.2">
      <c r="A5699" s="533"/>
      <c r="B5699" s="534"/>
      <c r="C5699" s="535"/>
      <c r="D5699" s="535" t="s">
        <v>2043</v>
      </c>
      <c r="E5699" s="536"/>
      <c r="F5699" s="589" t="str">
        <f ca="1">"$/"&amp;G5632</f>
        <v>$/0</v>
      </c>
      <c r="G5699" s="537">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16" t="s">
        <v>31</v>
      </c>
      <c r="B5701" s="717"/>
      <c r="C5701" s="717"/>
      <c r="D5701" s="717"/>
      <c r="E5701" s="717"/>
      <c r="F5701" s="717"/>
      <c r="G5701" s="718"/>
    </row>
    <row r="5702" spans="1:7" ht="19.899999999999999" customHeight="1" x14ac:dyDescent="0.2">
      <c r="A5702" s="516" t="s">
        <v>711</v>
      </c>
      <c r="B5702" s="467" t="str">
        <f>Comitente</f>
        <v>DIRECCIÓN PROVINCIAL DE VIALIDAD</v>
      </c>
      <c r="C5702" s="468"/>
      <c r="D5702" s="469"/>
      <c r="E5702" s="469"/>
      <c r="F5702" s="470"/>
      <c r="G5702" s="517"/>
    </row>
    <row r="5703" spans="1:7" ht="19.899999999999999" customHeight="1" x14ac:dyDescent="0.2">
      <c r="A5703" s="516" t="s">
        <v>712</v>
      </c>
      <c r="B5703" s="467">
        <f>Contratista</f>
        <v>0</v>
      </c>
      <c r="C5703" s="471"/>
      <c r="D5703" s="471"/>
      <c r="E5703" s="471"/>
      <c r="F5703" s="467"/>
      <c r="G5703" s="518"/>
    </row>
    <row r="5704" spans="1:7" ht="19.899999999999999" customHeight="1" x14ac:dyDescent="0.2">
      <c r="A5704" s="516" t="s">
        <v>21</v>
      </c>
      <c r="B5704" s="467" t="str">
        <f>Obra</f>
        <v>OBRA BÁSICA Y PAVIMENTACIÓN CALLE GÜEMES</v>
      </c>
      <c r="C5704" s="471"/>
      <c r="D5704" s="471"/>
      <c r="E5704" s="471"/>
      <c r="F5704" s="467" t="s">
        <v>32</v>
      </c>
      <c r="G5704" s="518">
        <f>Fecha_Base</f>
        <v>0</v>
      </c>
    </row>
    <row r="5705" spans="1:7" ht="19.899999999999999" customHeight="1" x14ac:dyDescent="0.2">
      <c r="A5705" s="519" t="s">
        <v>710</v>
      </c>
      <c r="B5705" s="472" t="str">
        <f>Ubicación</f>
        <v>Rawson - Santa Lucia</v>
      </c>
      <c r="C5705" s="472"/>
      <c r="D5705" s="473"/>
      <c r="E5705" s="474"/>
      <c r="F5705" s="475"/>
      <c r="G5705" s="520"/>
    </row>
    <row r="5706" spans="1:7" ht="19.899999999999999" customHeight="1" x14ac:dyDescent="0.2">
      <c r="A5706" s="519" t="s">
        <v>33</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22</v>
      </c>
      <c r="B5707" s="477" t="str">
        <f>IFERROR(VLOOKUP(COUNTIF($A$1:A5707,"ANALISIS DE PRECIOS"),T_NumeroItem,2,FALSE),"")</f>
        <v/>
      </c>
      <c r="C5707" s="719">
        <f ca="1">IFERROR(VLOOKUP(B5707,T_Computo_Presupuesto,2,FALSE),0)</f>
        <v>0</v>
      </c>
      <c r="D5707" s="719"/>
      <c r="E5707" s="719"/>
      <c r="F5707" s="472" t="s">
        <v>23</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999</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1000</v>
      </c>
      <c r="D5711" s="482" t="s">
        <v>24</v>
      </c>
      <c r="E5711" s="482" t="s">
        <v>1001</v>
      </c>
      <c r="F5711" s="482" t="s">
        <v>1002</v>
      </c>
      <c r="G5711" s="481" t="s">
        <v>1003</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1004</v>
      </c>
      <c r="D5723" s="472" t="s">
        <v>1001</v>
      </c>
      <c r="E5723" s="538">
        <f>SUMPRODUCT(D5712:D5721,E5712:E5721)</f>
        <v>0</v>
      </c>
      <c r="F5723" s="472" t="s">
        <v>1005</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1006</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06" t="s">
        <v>576</v>
      </c>
      <c r="B5727" s="707"/>
      <c r="C5727" s="708" t="s">
        <v>0</v>
      </c>
      <c r="D5727" s="720" t="s">
        <v>1866</v>
      </c>
      <c r="E5727" s="720" t="s">
        <v>1865</v>
      </c>
      <c r="F5727" s="712" t="s">
        <v>1007</v>
      </c>
      <c r="G5727" s="714" t="s">
        <v>26</v>
      </c>
    </row>
    <row r="5728" spans="1:7" ht="19.899999999999999" customHeight="1" x14ac:dyDescent="0.2">
      <c r="A5728" s="491" t="s">
        <v>577</v>
      </c>
      <c r="B5728" s="491" t="s">
        <v>578</v>
      </c>
      <c r="C5728" s="709"/>
      <c r="D5728" s="721"/>
      <c r="E5728" s="711"/>
      <c r="F5728" s="713"/>
      <c r="G5728" s="715"/>
    </row>
    <row r="5729" spans="1:7" ht="19.899999999999999" customHeight="1" x14ac:dyDescent="0.2">
      <c r="A5729" s="527"/>
      <c r="B5729" s="175"/>
      <c r="C5729" s="469" t="s">
        <v>1008</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27</v>
      </c>
      <c r="G5739" s="531">
        <f>SUBTOTAL(9,G5730:G5738)</f>
        <v>0</v>
      </c>
    </row>
    <row r="5740" spans="1:7" ht="19.899999999999999" customHeight="1" x14ac:dyDescent="0.2">
      <c r="A5740" s="527"/>
      <c r="B5740" s="175"/>
      <c r="C5740" s="469" t="s">
        <v>713</v>
      </c>
      <c r="D5740" s="473"/>
      <c r="E5740" s="474"/>
      <c r="F5740" s="475"/>
      <c r="G5740" s="528"/>
    </row>
    <row r="5741" spans="1:7" ht="19.899999999999999" customHeight="1" x14ac:dyDescent="0.2">
      <c r="A5741" s="706" t="s">
        <v>576</v>
      </c>
      <c r="B5741" s="707"/>
      <c r="C5741" s="708" t="s">
        <v>0</v>
      </c>
      <c r="D5741" s="710" t="s">
        <v>24</v>
      </c>
      <c r="E5741" s="710" t="s">
        <v>1832</v>
      </c>
      <c r="F5741" s="712" t="s">
        <v>1007</v>
      </c>
      <c r="G5741" s="714" t="s">
        <v>26</v>
      </c>
    </row>
    <row r="5742" spans="1:7" ht="19.899999999999999" customHeight="1" x14ac:dyDescent="0.2">
      <c r="A5742" s="491" t="s">
        <v>577</v>
      </c>
      <c r="B5742" s="491" t="s">
        <v>578</v>
      </c>
      <c r="C5742" s="709"/>
      <c r="D5742" s="711"/>
      <c r="E5742" s="711"/>
      <c r="F5742" s="713"/>
      <c r="G5742" s="715"/>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28</v>
      </c>
      <c r="G5750" s="532">
        <f>SUBTOTAL(9,G5743:G5749)</f>
        <v>0</v>
      </c>
    </row>
    <row r="5751" spans="1:7" ht="19.899999999999999" customHeight="1" x14ac:dyDescent="0.2">
      <c r="A5751" s="527"/>
      <c r="B5751" s="175"/>
      <c r="C5751" s="469" t="s">
        <v>1014</v>
      </c>
      <c r="D5751" s="473"/>
      <c r="E5751" s="474"/>
      <c r="F5751" s="475"/>
      <c r="G5751" s="528"/>
    </row>
    <row r="5752" spans="1:7" ht="19.899999999999999" customHeight="1" x14ac:dyDescent="0.2">
      <c r="A5752" s="706" t="s">
        <v>576</v>
      </c>
      <c r="B5752" s="707"/>
      <c r="C5752" s="708" t="s">
        <v>0</v>
      </c>
      <c r="D5752" s="708" t="s">
        <v>1867</v>
      </c>
      <c r="E5752" s="710" t="s">
        <v>24</v>
      </c>
      <c r="F5752" s="712" t="s">
        <v>25</v>
      </c>
      <c r="G5752" s="714" t="s">
        <v>26</v>
      </c>
    </row>
    <row r="5753" spans="1:7" ht="19.899999999999999" customHeight="1" x14ac:dyDescent="0.2">
      <c r="A5753" s="491" t="s">
        <v>577</v>
      </c>
      <c r="B5753" s="491" t="s">
        <v>578</v>
      </c>
      <c r="C5753" s="709"/>
      <c r="D5753" s="709"/>
      <c r="E5753" s="711"/>
      <c r="F5753" s="713"/>
      <c r="G5753" s="715"/>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29</v>
      </c>
      <c r="G5765" s="532">
        <f>SUBTOTAL(9,G5754:G5764)</f>
        <v>0</v>
      </c>
    </row>
    <row r="5766" spans="1:7" ht="19.899999999999999" customHeight="1" x14ac:dyDescent="0.2">
      <c r="A5766" s="527"/>
      <c r="B5766" s="175"/>
      <c r="C5766" s="469" t="s">
        <v>1015</v>
      </c>
      <c r="D5766" s="473"/>
      <c r="E5766" s="474"/>
      <c r="F5766" s="475"/>
      <c r="G5766" s="528"/>
    </row>
    <row r="5767" spans="1:7" ht="19.899999999999999" customHeight="1" x14ac:dyDescent="0.2">
      <c r="A5767" s="706" t="s">
        <v>576</v>
      </c>
      <c r="B5767" s="707"/>
      <c r="C5767" s="708" t="s">
        <v>0</v>
      </c>
      <c r="D5767" s="708" t="s">
        <v>1867</v>
      </c>
      <c r="E5767" s="710" t="s">
        <v>24</v>
      </c>
      <c r="F5767" s="712" t="s">
        <v>25</v>
      </c>
      <c r="G5767" s="714" t="s">
        <v>26</v>
      </c>
    </row>
    <row r="5768" spans="1:7" ht="19.899999999999999" customHeight="1" x14ac:dyDescent="0.2">
      <c r="A5768" s="491" t="s">
        <v>577</v>
      </c>
      <c r="B5768" s="491" t="s">
        <v>578</v>
      </c>
      <c r="C5768" s="709"/>
      <c r="D5768" s="709"/>
      <c r="E5768" s="711"/>
      <c r="F5768" s="713"/>
      <c r="G5768" s="715"/>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1016</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1833</v>
      </c>
      <c r="E5773" s="586"/>
      <c r="F5773" s="587" t="str">
        <f ca="1">"$/"&amp;G5707</f>
        <v>$/0</v>
      </c>
      <c r="G5773" s="537">
        <f>SUBTOTAL(9,G5730:G5772)</f>
        <v>0</v>
      </c>
    </row>
    <row r="5774" spans="1:7" ht="19.899999999999999" customHeight="1" x14ac:dyDescent="0.2">
      <c r="A5774" s="533"/>
      <c r="B5774" s="534"/>
      <c r="C5774" s="535"/>
      <c r="D5774" s="535" t="s">
        <v>2043</v>
      </c>
      <c r="E5774" s="536"/>
      <c r="F5774" s="589" t="str">
        <f ca="1">"$/"&amp;G5707</f>
        <v>$/0</v>
      </c>
      <c r="G5774" s="537">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16" t="s">
        <v>31</v>
      </c>
      <c r="B5776" s="717"/>
      <c r="C5776" s="717"/>
      <c r="D5776" s="717"/>
      <c r="E5776" s="717"/>
      <c r="F5776" s="717"/>
      <c r="G5776" s="718"/>
    </row>
    <row r="5777" spans="1:7" ht="19.899999999999999" customHeight="1" x14ac:dyDescent="0.2">
      <c r="A5777" s="516" t="s">
        <v>711</v>
      </c>
      <c r="B5777" s="467" t="str">
        <f>Comitente</f>
        <v>DIRECCIÓN PROVINCIAL DE VIALIDAD</v>
      </c>
      <c r="C5777" s="468"/>
      <c r="D5777" s="469"/>
      <c r="E5777" s="469"/>
      <c r="F5777" s="470"/>
      <c r="G5777" s="517"/>
    </row>
    <row r="5778" spans="1:7" ht="19.899999999999999" customHeight="1" x14ac:dyDescent="0.2">
      <c r="A5778" s="516" t="s">
        <v>712</v>
      </c>
      <c r="B5778" s="467">
        <f>Contratista</f>
        <v>0</v>
      </c>
      <c r="C5778" s="471"/>
      <c r="D5778" s="471"/>
      <c r="E5778" s="471"/>
      <c r="F5778" s="467"/>
      <c r="G5778" s="518"/>
    </row>
    <row r="5779" spans="1:7" ht="19.899999999999999" customHeight="1" x14ac:dyDescent="0.2">
      <c r="A5779" s="516" t="s">
        <v>21</v>
      </c>
      <c r="B5779" s="467" t="str">
        <f>Obra</f>
        <v>OBRA BÁSICA Y PAVIMENTACIÓN CALLE GÜEMES</v>
      </c>
      <c r="C5779" s="471"/>
      <c r="D5779" s="471"/>
      <c r="E5779" s="471"/>
      <c r="F5779" s="467" t="s">
        <v>32</v>
      </c>
      <c r="G5779" s="518">
        <f>Fecha_Base</f>
        <v>0</v>
      </c>
    </row>
    <row r="5780" spans="1:7" ht="19.899999999999999" customHeight="1" x14ac:dyDescent="0.2">
      <c r="A5780" s="519" t="s">
        <v>710</v>
      </c>
      <c r="B5780" s="472" t="str">
        <f>Ubicación</f>
        <v>Rawson - Santa Lucia</v>
      </c>
      <c r="C5780" s="472"/>
      <c r="D5780" s="473"/>
      <c r="E5780" s="474"/>
      <c r="F5780" s="475"/>
      <c r="G5780" s="520"/>
    </row>
    <row r="5781" spans="1:7" ht="19.899999999999999" customHeight="1" x14ac:dyDescent="0.2">
      <c r="A5781" s="519" t="s">
        <v>33</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22</v>
      </c>
      <c r="B5782" s="477" t="str">
        <f>IFERROR(VLOOKUP(COUNTIF($A$1:A5782,"ANALISIS DE PRECIOS"),T_NumeroItem,2,FALSE),"")</f>
        <v/>
      </c>
      <c r="C5782" s="719">
        <f ca="1">IFERROR(VLOOKUP(B5782,T_Computo_Presupuesto,2,FALSE),0)</f>
        <v>0</v>
      </c>
      <c r="D5782" s="719"/>
      <c r="E5782" s="719"/>
      <c r="F5782" s="472" t="s">
        <v>23</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999</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1000</v>
      </c>
      <c r="D5786" s="482" t="s">
        <v>24</v>
      </c>
      <c r="E5786" s="482" t="s">
        <v>1001</v>
      </c>
      <c r="F5786" s="482" t="s">
        <v>1002</v>
      </c>
      <c r="G5786" s="481" t="s">
        <v>1003</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1004</v>
      </c>
      <c r="D5798" s="472" t="s">
        <v>1001</v>
      </c>
      <c r="E5798" s="538">
        <f>SUMPRODUCT(D5787:D5796,E5787:E5796)</f>
        <v>0</v>
      </c>
      <c r="F5798" s="472" t="s">
        <v>1005</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1006</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06" t="s">
        <v>576</v>
      </c>
      <c r="B5802" s="707"/>
      <c r="C5802" s="708" t="s">
        <v>0</v>
      </c>
      <c r="D5802" s="720" t="s">
        <v>1866</v>
      </c>
      <c r="E5802" s="720" t="s">
        <v>1865</v>
      </c>
      <c r="F5802" s="712" t="s">
        <v>1007</v>
      </c>
      <c r="G5802" s="714" t="s">
        <v>26</v>
      </c>
    </row>
    <row r="5803" spans="1:7" ht="19.899999999999999" customHeight="1" x14ac:dyDescent="0.2">
      <c r="A5803" s="491" t="s">
        <v>577</v>
      </c>
      <c r="B5803" s="491" t="s">
        <v>578</v>
      </c>
      <c r="C5803" s="709"/>
      <c r="D5803" s="721"/>
      <c r="E5803" s="711"/>
      <c r="F5803" s="713"/>
      <c r="G5803" s="715"/>
    </row>
    <row r="5804" spans="1:7" ht="19.899999999999999" customHeight="1" x14ac:dyDescent="0.2">
      <c r="A5804" s="527"/>
      <c r="B5804" s="175"/>
      <c r="C5804" s="469" t="s">
        <v>1008</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27</v>
      </c>
      <c r="G5814" s="531">
        <f>SUBTOTAL(9,G5805:G5813)</f>
        <v>0</v>
      </c>
    </row>
    <row r="5815" spans="1:7" ht="19.899999999999999" customHeight="1" x14ac:dyDescent="0.2">
      <c r="A5815" s="527"/>
      <c r="B5815" s="175"/>
      <c r="C5815" s="469" t="s">
        <v>713</v>
      </c>
      <c r="D5815" s="473"/>
      <c r="E5815" s="474"/>
      <c r="F5815" s="475"/>
      <c r="G5815" s="528"/>
    </row>
    <row r="5816" spans="1:7" ht="19.899999999999999" customHeight="1" x14ac:dyDescent="0.2">
      <c r="A5816" s="706" t="s">
        <v>576</v>
      </c>
      <c r="B5816" s="707"/>
      <c r="C5816" s="708" t="s">
        <v>0</v>
      </c>
      <c r="D5816" s="710" t="s">
        <v>24</v>
      </c>
      <c r="E5816" s="710" t="s">
        <v>1832</v>
      </c>
      <c r="F5816" s="712" t="s">
        <v>1007</v>
      </c>
      <c r="G5816" s="714" t="s">
        <v>26</v>
      </c>
    </row>
    <row r="5817" spans="1:7" ht="19.899999999999999" customHeight="1" x14ac:dyDescent="0.2">
      <c r="A5817" s="491" t="s">
        <v>577</v>
      </c>
      <c r="B5817" s="491" t="s">
        <v>578</v>
      </c>
      <c r="C5817" s="709"/>
      <c r="D5817" s="711"/>
      <c r="E5817" s="711"/>
      <c r="F5817" s="713"/>
      <c r="G5817" s="715"/>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28</v>
      </c>
      <c r="G5825" s="532">
        <f>SUBTOTAL(9,G5818:G5824)</f>
        <v>0</v>
      </c>
    </row>
    <row r="5826" spans="1:7" ht="19.899999999999999" customHeight="1" x14ac:dyDescent="0.2">
      <c r="A5826" s="527"/>
      <c r="B5826" s="175"/>
      <c r="C5826" s="469" t="s">
        <v>1014</v>
      </c>
      <c r="D5826" s="473"/>
      <c r="E5826" s="474"/>
      <c r="F5826" s="475"/>
      <c r="G5826" s="528"/>
    </row>
    <row r="5827" spans="1:7" ht="19.899999999999999" customHeight="1" x14ac:dyDescent="0.2">
      <c r="A5827" s="706" t="s">
        <v>576</v>
      </c>
      <c r="B5827" s="707"/>
      <c r="C5827" s="708" t="s">
        <v>0</v>
      </c>
      <c r="D5827" s="708" t="s">
        <v>1867</v>
      </c>
      <c r="E5827" s="710" t="s">
        <v>24</v>
      </c>
      <c r="F5827" s="712" t="s">
        <v>25</v>
      </c>
      <c r="G5827" s="714" t="s">
        <v>26</v>
      </c>
    </row>
    <row r="5828" spans="1:7" ht="19.899999999999999" customHeight="1" x14ac:dyDescent="0.2">
      <c r="A5828" s="491" t="s">
        <v>577</v>
      </c>
      <c r="B5828" s="491" t="s">
        <v>578</v>
      </c>
      <c r="C5828" s="709"/>
      <c r="D5828" s="709"/>
      <c r="E5828" s="711"/>
      <c r="F5828" s="713"/>
      <c r="G5828" s="715"/>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29</v>
      </c>
      <c r="G5840" s="532">
        <f>SUBTOTAL(9,G5829:G5839)</f>
        <v>0</v>
      </c>
    </row>
    <row r="5841" spans="1:7" ht="19.899999999999999" customHeight="1" x14ac:dyDescent="0.2">
      <c r="A5841" s="527"/>
      <c r="B5841" s="175"/>
      <c r="C5841" s="469" t="s">
        <v>1015</v>
      </c>
      <c r="D5841" s="473"/>
      <c r="E5841" s="474"/>
      <c r="F5841" s="475"/>
      <c r="G5841" s="528"/>
    </row>
    <row r="5842" spans="1:7" ht="19.899999999999999" customHeight="1" x14ac:dyDescent="0.2">
      <c r="A5842" s="706" t="s">
        <v>576</v>
      </c>
      <c r="B5842" s="707"/>
      <c r="C5842" s="708" t="s">
        <v>0</v>
      </c>
      <c r="D5842" s="708" t="s">
        <v>1867</v>
      </c>
      <c r="E5842" s="710" t="s">
        <v>24</v>
      </c>
      <c r="F5842" s="712" t="s">
        <v>25</v>
      </c>
      <c r="G5842" s="714" t="s">
        <v>26</v>
      </c>
    </row>
    <row r="5843" spans="1:7" ht="19.899999999999999" customHeight="1" x14ac:dyDescent="0.2">
      <c r="A5843" s="491" t="s">
        <v>577</v>
      </c>
      <c r="B5843" s="491" t="s">
        <v>578</v>
      </c>
      <c r="C5843" s="709"/>
      <c r="D5843" s="709"/>
      <c r="E5843" s="711"/>
      <c r="F5843" s="713"/>
      <c r="G5843" s="715"/>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1016</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1833</v>
      </c>
      <c r="E5848" s="586"/>
      <c r="F5848" s="587" t="str">
        <f ca="1">"$/"&amp;G5782</f>
        <v>$/0</v>
      </c>
      <c r="G5848" s="537">
        <f>SUBTOTAL(9,G5805:G5847)</f>
        <v>0</v>
      </c>
    </row>
    <row r="5849" spans="1:7" ht="19.899999999999999" customHeight="1" x14ac:dyDescent="0.2">
      <c r="A5849" s="533"/>
      <c r="B5849" s="534"/>
      <c r="C5849" s="535"/>
      <c r="D5849" s="535" t="s">
        <v>2043</v>
      </c>
      <c r="E5849" s="536"/>
      <c r="F5849" s="589" t="str">
        <f ca="1">"$/"&amp;G5782</f>
        <v>$/0</v>
      </c>
      <c r="G5849" s="537">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16" t="s">
        <v>31</v>
      </c>
      <c r="B5851" s="717"/>
      <c r="C5851" s="717"/>
      <c r="D5851" s="717"/>
      <c r="E5851" s="717"/>
      <c r="F5851" s="717"/>
      <c r="G5851" s="718"/>
    </row>
    <row r="5852" spans="1:7" ht="19.899999999999999" customHeight="1" x14ac:dyDescent="0.2">
      <c r="A5852" s="516" t="s">
        <v>711</v>
      </c>
      <c r="B5852" s="467" t="str">
        <f>Comitente</f>
        <v>DIRECCIÓN PROVINCIAL DE VIALIDAD</v>
      </c>
      <c r="C5852" s="468"/>
      <c r="D5852" s="469"/>
      <c r="E5852" s="469"/>
      <c r="F5852" s="470"/>
      <c r="G5852" s="517"/>
    </row>
    <row r="5853" spans="1:7" ht="19.899999999999999" customHeight="1" x14ac:dyDescent="0.2">
      <c r="A5853" s="516" t="s">
        <v>712</v>
      </c>
      <c r="B5853" s="467">
        <f>Contratista</f>
        <v>0</v>
      </c>
      <c r="C5853" s="471"/>
      <c r="D5853" s="471"/>
      <c r="E5853" s="471"/>
      <c r="F5853" s="467"/>
      <c r="G5853" s="518"/>
    </row>
    <row r="5854" spans="1:7" ht="19.899999999999999" customHeight="1" x14ac:dyDescent="0.2">
      <c r="A5854" s="516" t="s">
        <v>21</v>
      </c>
      <c r="B5854" s="467" t="str">
        <f>Obra</f>
        <v>OBRA BÁSICA Y PAVIMENTACIÓN CALLE GÜEMES</v>
      </c>
      <c r="C5854" s="471"/>
      <c r="D5854" s="471"/>
      <c r="E5854" s="471"/>
      <c r="F5854" s="467" t="s">
        <v>32</v>
      </c>
      <c r="G5854" s="518">
        <f>Fecha_Base</f>
        <v>0</v>
      </c>
    </row>
    <row r="5855" spans="1:7" ht="19.899999999999999" customHeight="1" x14ac:dyDescent="0.2">
      <c r="A5855" s="519" t="s">
        <v>710</v>
      </c>
      <c r="B5855" s="472" t="str">
        <f>Ubicación</f>
        <v>Rawson - Santa Lucia</v>
      </c>
      <c r="C5855" s="472"/>
      <c r="D5855" s="473"/>
      <c r="E5855" s="474"/>
      <c r="F5855" s="475"/>
      <c r="G5855" s="520"/>
    </row>
    <row r="5856" spans="1:7" ht="19.899999999999999" customHeight="1" x14ac:dyDescent="0.2">
      <c r="A5856" s="519" t="s">
        <v>33</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22</v>
      </c>
      <c r="B5857" s="477" t="str">
        <f>IFERROR(VLOOKUP(COUNTIF($A$1:A5857,"ANALISIS DE PRECIOS"),T_NumeroItem,2,FALSE),"")</f>
        <v/>
      </c>
      <c r="C5857" s="719">
        <f ca="1">IFERROR(VLOOKUP(B5857,T_Computo_Presupuesto,2,FALSE),0)</f>
        <v>0</v>
      </c>
      <c r="D5857" s="719"/>
      <c r="E5857" s="719"/>
      <c r="F5857" s="472" t="s">
        <v>23</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999</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1000</v>
      </c>
      <c r="D5861" s="482" t="s">
        <v>24</v>
      </c>
      <c r="E5861" s="482" t="s">
        <v>1001</v>
      </c>
      <c r="F5861" s="482" t="s">
        <v>1002</v>
      </c>
      <c r="G5861" s="481" t="s">
        <v>1003</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1004</v>
      </c>
      <c r="D5873" s="472" t="s">
        <v>1001</v>
      </c>
      <c r="E5873" s="538">
        <f>SUMPRODUCT(D5862:D5871,E5862:E5871)</f>
        <v>0</v>
      </c>
      <c r="F5873" s="472" t="s">
        <v>1005</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1006</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06" t="s">
        <v>576</v>
      </c>
      <c r="B5877" s="707"/>
      <c r="C5877" s="708" t="s">
        <v>0</v>
      </c>
      <c r="D5877" s="720" t="s">
        <v>1866</v>
      </c>
      <c r="E5877" s="720" t="s">
        <v>1865</v>
      </c>
      <c r="F5877" s="712" t="s">
        <v>1007</v>
      </c>
      <c r="G5877" s="714" t="s">
        <v>26</v>
      </c>
    </row>
    <row r="5878" spans="1:7" ht="19.899999999999999" customHeight="1" x14ac:dyDescent="0.2">
      <c r="A5878" s="491" t="s">
        <v>577</v>
      </c>
      <c r="B5878" s="491" t="s">
        <v>578</v>
      </c>
      <c r="C5878" s="709"/>
      <c r="D5878" s="721"/>
      <c r="E5878" s="711"/>
      <c r="F5878" s="713"/>
      <c r="G5878" s="715"/>
    </row>
    <row r="5879" spans="1:7" ht="19.899999999999999" customHeight="1" x14ac:dyDescent="0.2">
      <c r="A5879" s="527"/>
      <c r="B5879" s="175"/>
      <c r="C5879" s="469" t="s">
        <v>1008</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27</v>
      </c>
      <c r="G5889" s="531">
        <f>SUBTOTAL(9,G5880:G5888)</f>
        <v>0</v>
      </c>
    </row>
    <row r="5890" spans="1:7" ht="19.899999999999999" customHeight="1" x14ac:dyDescent="0.2">
      <c r="A5890" s="527"/>
      <c r="B5890" s="175"/>
      <c r="C5890" s="469" t="s">
        <v>713</v>
      </c>
      <c r="D5890" s="473"/>
      <c r="E5890" s="474"/>
      <c r="F5890" s="475"/>
      <c r="G5890" s="528"/>
    </row>
    <row r="5891" spans="1:7" ht="19.899999999999999" customHeight="1" x14ac:dyDescent="0.2">
      <c r="A5891" s="706" t="s">
        <v>576</v>
      </c>
      <c r="B5891" s="707"/>
      <c r="C5891" s="708" t="s">
        <v>0</v>
      </c>
      <c r="D5891" s="710" t="s">
        <v>24</v>
      </c>
      <c r="E5891" s="710" t="s">
        <v>1832</v>
      </c>
      <c r="F5891" s="712" t="s">
        <v>1007</v>
      </c>
      <c r="G5891" s="714" t="s">
        <v>26</v>
      </c>
    </row>
    <row r="5892" spans="1:7" ht="19.899999999999999" customHeight="1" x14ac:dyDescent="0.2">
      <c r="A5892" s="491" t="s">
        <v>577</v>
      </c>
      <c r="B5892" s="491" t="s">
        <v>578</v>
      </c>
      <c r="C5892" s="709"/>
      <c r="D5892" s="711"/>
      <c r="E5892" s="711"/>
      <c r="F5892" s="713"/>
      <c r="G5892" s="715"/>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28</v>
      </c>
      <c r="G5900" s="532">
        <f>SUBTOTAL(9,G5893:G5899)</f>
        <v>0</v>
      </c>
    </row>
    <row r="5901" spans="1:7" ht="19.899999999999999" customHeight="1" x14ac:dyDescent="0.2">
      <c r="A5901" s="527"/>
      <c r="B5901" s="175"/>
      <c r="C5901" s="469" t="s">
        <v>1014</v>
      </c>
      <c r="D5901" s="473"/>
      <c r="E5901" s="474"/>
      <c r="F5901" s="475"/>
      <c r="G5901" s="528"/>
    </row>
    <row r="5902" spans="1:7" ht="19.899999999999999" customHeight="1" x14ac:dyDescent="0.2">
      <c r="A5902" s="706" t="s">
        <v>576</v>
      </c>
      <c r="B5902" s="707"/>
      <c r="C5902" s="708" t="s">
        <v>0</v>
      </c>
      <c r="D5902" s="708" t="s">
        <v>1867</v>
      </c>
      <c r="E5902" s="710" t="s">
        <v>24</v>
      </c>
      <c r="F5902" s="712" t="s">
        <v>25</v>
      </c>
      <c r="G5902" s="714" t="s">
        <v>26</v>
      </c>
    </row>
    <row r="5903" spans="1:7" ht="19.899999999999999" customHeight="1" x14ac:dyDescent="0.2">
      <c r="A5903" s="491" t="s">
        <v>577</v>
      </c>
      <c r="B5903" s="491" t="s">
        <v>578</v>
      </c>
      <c r="C5903" s="709"/>
      <c r="D5903" s="709"/>
      <c r="E5903" s="711"/>
      <c r="F5903" s="713"/>
      <c r="G5903" s="715"/>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29</v>
      </c>
      <c r="G5915" s="532">
        <f>SUBTOTAL(9,G5904:G5914)</f>
        <v>0</v>
      </c>
    </row>
    <row r="5916" spans="1:7" ht="19.899999999999999" customHeight="1" x14ac:dyDescent="0.2">
      <c r="A5916" s="527"/>
      <c r="B5916" s="175"/>
      <c r="C5916" s="469" t="s">
        <v>1015</v>
      </c>
      <c r="D5916" s="473"/>
      <c r="E5916" s="474"/>
      <c r="F5916" s="475"/>
      <c r="G5916" s="528"/>
    </row>
    <row r="5917" spans="1:7" ht="19.899999999999999" customHeight="1" x14ac:dyDescent="0.2">
      <c r="A5917" s="706" t="s">
        <v>576</v>
      </c>
      <c r="B5917" s="707"/>
      <c r="C5917" s="708" t="s">
        <v>0</v>
      </c>
      <c r="D5917" s="708" t="s">
        <v>1867</v>
      </c>
      <c r="E5917" s="710" t="s">
        <v>24</v>
      </c>
      <c r="F5917" s="712" t="s">
        <v>25</v>
      </c>
      <c r="G5917" s="714" t="s">
        <v>26</v>
      </c>
    </row>
    <row r="5918" spans="1:7" ht="19.899999999999999" customHeight="1" x14ac:dyDescent="0.2">
      <c r="A5918" s="491" t="s">
        <v>577</v>
      </c>
      <c r="B5918" s="491" t="s">
        <v>578</v>
      </c>
      <c r="C5918" s="709"/>
      <c r="D5918" s="709"/>
      <c r="E5918" s="711"/>
      <c r="F5918" s="713"/>
      <c r="G5918" s="715"/>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1016</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1833</v>
      </c>
      <c r="E5923" s="586"/>
      <c r="F5923" s="587" t="str">
        <f ca="1">"$/"&amp;G5857</f>
        <v>$/0</v>
      </c>
      <c r="G5923" s="537">
        <f>SUBTOTAL(9,G5880:G5922)</f>
        <v>0</v>
      </c>
    </row>
    <row r="5924" spans="1:7" ht="19.899999999999999" customHeight="1" x14ac:dyDescent="0.2">
      <c r="A5924" s="533"/>
      <c r="B5924" s="534"/>
      <c r="C5924" s="535"/>
      <c r="D5924" s="535" t="s">
        <v>2043</v>
      </c>
      <c r="E5924" s="536"/>
      <c r="F5924" s="589" t="str">
        <f ca="1">"$/"&amp;G5857</f>
        <v>$/0</v>
      </c>
      <c r="G5924" s="537">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16" t="s">
        <v>31</v>
      </c>
      <c r="B5926" s="717"/>
      <c r="C5926" s="717"/>
      <c r="D5926" s="717"/>
      <c r="E5926" s="717"/>
      <c r="F5926" s="717"/>
      <c r="G5926" s="718"/>
    </row>
    <row r="5927" spans="1:7" ht="19.899999999999999" customHeight="1" x14ac:dyDescent="0.2">
      <c r="A5927" s="516" t="s">
        <v>711</v>
      </c>
      <c r="B5927" s="467" t="str">
        <f>Comitente</f>
        <v>DIRECCIÓN PROVINCIAL DE VIALIDAD</v>
      </c>
      <c r="C5927" s="468"/>
      <c r="D5927" s="469"/>
      <c r="E5927" s="469"/>
      <c r="F5927" s="470"/>
      <c r="G5927" s="517"/>
    </row>
    <row r="5928" spans="1:7" ht="19.899999999999999" customHeight="1" x14ac:dyDescent="0.2">
      <c r="A5928" s="516" t="s">
        <v>712</v>
      </c>
      <c r="B5928" s="467">
        <f>Contratista</f>
        <v>0</v>
      </c>
      <c r="C5928" s="471"/>
      <c r="D5928" s="471"/>
      <c r="E5928" s="471"/>
      <c r="F5928" s="467"/>
      <c r="G5928" s="518"/>
    </row>
    <row r="5929" spans="1:7" ht="19.899999999999999" customHeight="1" x14ac:dyDescent="0.2">
      <c r="A5929" s="516" t="s">
        <v>21</v>
      </c>
      <c r="B5929" s="467" t="str">
        <f>Obra</f>
        <v>OBRA BÁSICA Y PAVIMENTACIÓN CALLE GÜEMES</v>
      </c>
      <c r="C5929" s="471"/>
      <c r="D5929" s="471"/>
      <c r="E5929" s="471"/>
      <c r="F5929" s="467" t="s">
        <v>32</v>
      </c>
      <c r="G5929" s="518">
        <f>Fecha_Base</f>
        <v>0</v>
      </c>
    </row>
    <row r="5930" spans="1:7" ht="19.899999999999999" customHeight="1" x14ac:dyDescent="0.2">
      <c r="A5930" s="519" t="s">
        <v>710</v>
      </c>
      <c r="B5930" s="472" t="str">
        <f>Ubicación</f>
        <v>Rawson - Santa Lucia</v>
      </c>
      <c r="C5930" s="472"/>
      <c r="D5930" s="473"/>
      <c r="E5930" s="474"/>
      <c r="F5930" s="475"/>
      <c r="G5930" s="520"/>
    </row>
    <row r="5931" spans="1:7" ht="19.899999999999999" customHeight="1" x14ac:dyDescent="0.2">
      <c r="A5931" s="519" t="s">
        <v>33</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22</v>
      </c>
      <c r="B5932" s="477" t="str">
        <f>IFERROR(VLOOKUP(COUNTIF($A$1:A5932,"ANALISIS DE PRECIOS"),T_NumeroItem,2,FALSE),"")</f>
        <v/>
      </c>
      <c r="C5932" s="719">
        <f ca="1">IFERROR(VLOOKUP(B5932,T_Computo_Presupuesto,2,FALSE),0)</f>
        <v>0</v>
      </c>
      <c r="D5932" s="719"/>
      <c r="E5932" s="719"/>
      <c r="F5932" s="472" t="s">
        <v>23</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999</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1000</v>
      </c>
      <c r="D5936" s="482" t="s">
        <v>24</v>
      </c>
      <c r="E5936" s="482" t="s">
        <v>1001</v>
      </c>
      <c r="F5936" s="482" t="s">
        <v>1002</v>
      </c>
      <c r="G5936" s="481" t="s">
        <v>1003</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1004</v>
      </c>
      <c r="D5948" s="472" t="s">
        <v>1001</v>
      </c>
      <c r="E5948" s="538">
        <f>SUMPRODUCT(D5937:D5946,E5937:E5946)</f>
        <v>0</v>
      </c>
      <c r="F5948" s="472" t="s">
        <v>1005</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1006</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06" t="s">
        <v>576</v>
      </c>
      <c r="B5952" s="707"/>
      <c r="C5952" s="708" t="s">
        <v>0</v>
      </c>
      <c r="D5952" s="720" t="s">
        <v>1866</v>
      </c>
      <c r="E5952" s="720" t="s">
        <v>1865</v>
      </c>
      <c r="F5952" s="712" t="s">
        <v>1007</v>
      </c>
      <c r="G5952" s="714" t="s">
        <v>26</v>
      </c>
    </row>
    <row r="5953" spans="1:7" ht="19.899999999999999" customHeight="1" x14ac:dyDescent="0.2">
      <c r="A5953" s="491" t="s">
        <v>577</v>
      </c>
      <c r="B5953" s="491" t="s">
        <v>578</v>
      </c>
      <c r="C5953" s="709"/>
      <c r="D5953" s="721"/>
      <c r="E5953" s="711"/>
      <c r="F5953" s="713"/>
      <c r="G5953" s="715"/>
    </row>
    <row r="5954" spans="1:7" ht="19.899999999999999" customHeight="1" x14ac:dyDescent="0.2">
      <c r="A5954" s="527"/>
      <c r="B5954" s="175"/>
      <c r="C5954" s="469" t="s">
        <v>1008</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27</v>
      </c>
      <c r="G5964" s="531">
        <f>SUBTOTAL(9,G5955:G5963)</f>
        <v>0</v>
      </c>
    </row>
    <row r="5965" spans="1:7" ht="19.899999999999999" customHeight="1" x14ac:dyDescent="0.2">
      <c r="A5965" s="527"/>
      <c r="B5965" s="175"/>
      <c r="C5965" s="469" t="s">
        <v>713</v>
      </c>
      <c r="D5965" s="473"/>
      <c r="E5965" s="474"/>
      <c r="F5965" s="475"/>
      <c r="G5965" s="528"/>
    </row>
    <row r="5966" spans="1:7" ht="19.899999999999999" customHeight="1" x14ac:dyDescent="0.2">
      <c r="A5966" s="706" t="s">
        <v>576</v>
      </c>
      <c r="B5966" s="707"/>
      <c r="C5966" s="708" t="s">
        <v>0</v>
      </c>
      <c r="D5966" s="710" t="s">
        <v>24</v>
      </c>
      <c r="E5966" s="710" t="s">
        <v>1832</v>
      </c>
      <c r="F5966" s="712" t="s">
        <v>1007</v>
      </c>
      <c r="G5966" s="714" t="s">
        <v>26</v>
      </c>
    </row>
    <row r="5967" spans="1:7" ht="19.899999999999999" customHeight="1" x14ac:dyDescent="0.2">
      <c r="A5967" s="491" t="s">
        <v>577</v>
      </c>
      <c r="B5967" s="491" t="s">
        <v>578</v>
      </c>
      <c r="C5967" s="709"/>
      <c r="D5967" s="711"/>
      <c r="E5967" s="711"/>
      <c r="F5967" s="713"/>
      <c r="G5967" s="715"/>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28</v>
      </c>
      <c r="G5975" s="532">
        <f>SUBTOTAL(9,G5968:G5974)</f>
        <v>0</v>
      </c>
    </row>
    <row r="5976" spans="1:7" ht="19.899999999999999" customHeight="1" x14ac:dyDescent="0.2">
      <c r="A5976" s="527"/>
      <c r="B5976" s="175"/>
      <c r="C5976" s="469" t="s">
        <v>1014</v>
      </c>
      <c r="D5976" s="473"/>
      <c r="E5976" s="474"/>
      <c r="F5976" s="475"/>
      <c r="G5976" s="528"/>
    </row>
    <row r="5977" spans="1:7" ht="19.899999999999999" customHeight="1" x14ac:dyDescent="0.2">
      <c r="A5977" s="706" t="s">
        <v>576</v>
      </c>
      <c r="B5977" s="707"/>
      <c r="C5977" s="708" t="s">
        <v>0</v>
      </c>
      <c r="D5977" s="708" t="s">
        <v>1867</v>
      </c>
      <c r="E5977" s="710" t="s">
        <v>24</v>
      </c>
      <c r="F5977" s="712" t="s">
        <v>25</v>
      </c>
      <c r="G5977" s="714" t="s">
        <v>26</v>
      </c>
    </row>
    <row r="5978" spans="1:7" ht="19.899999999999999" customHeight="1" x14ac:dyDescent="0.2">
      <c r="A5978" s="491" t="s">
        <v>577</v>
      </c>
      <c r="B5978" s="491" t="s">
        <v>578</v>
      </c>
      <c r="C5978" s="709"/>
      <c r="D5978" s="709"/>
      <c r="E5978" s="711"/>
      <c r="F5978" s="713"/>
      <c r="G5978" s="715"/>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29</v>
      </c>
      <c r="G5990" s="532">
        <f>SUBTOTAL(9,G5979:G5989)</f>
        <v>0</v>
      </c>
    </row>
    <row r="5991" spans="1:7" ht="19.899999999999999" customHeight="1" x14ac:dyDescent="0.2">
      <c r="A5991" s="527"/>
      <c r="B5991" s="175"/>
      <c r="C5991" s="469" t="s">
        <v>1015</v>
      </c>
      <c r="D5991" s="473"/>
      <c r="E5991" s="474"/>
      <c r="F5991" s="475"/>
      <c r="G5991" s="528"/>
    </row>
    <row r="5992" spans="1:7" ht="19.899999999999999" customHeight="1" x14ac:dyDescent="0.2">
      <c r="A5992" s="706" t="s">
        <v>576</v>
      </c>
      <c r="B5992" s="707"/>
      <c r="C5992" s="708" t="s">
        <v>0</v>
      </c>
      <c r="D5992" s="708" t="s">
        <v>1867</v>
      </c>
      <c r="E5992" s="710" t="s">
        <v>24</v>
      </c>
      <c r="F5992" s="712" t="s">
        <v>25</v>
      </c>
      <c r="G5992" s="714" t="s">
        <v>26</v>
      </c>
    </row>
    <row r="5993" spans="1:7" ht="19.899999999999999" customHeight="1" x14ac:dyDescent="0.2">
      <c r="A5993" s="491" t="s">
        <v>577</v>
      </c>
      <c r="B5993" s="491" t="s">
        <v>578</v>
      </c>
      <c r="C5993" s="709"/>
      <c r="D5993" s="709"/>
      <c r="E5993" s="711"/>
      <c r="F5993" s="713"/>
      <c r="G5993" s="715"/>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1016</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1833</v>
      </c>
      <c r="E5998" s="586"/>
      <c r="F5998" s="587" t="str">
        <f ca="1">"$/"&amp;G5932</f>
        <v>$/0</v>
      </c>
      <c r="G5998" s="537">
        <f>SUBTOTAL(9,G5955:G5997)</f>
        <v>0</v>
      </c>
    </row>
    <row r="5999" spans="1:7" ht="19.899999999999999" customHeight="1" x14ac:dyDescent="0.2">
      <c r="A5999" s="533"/>
      <c r="B5999" s="534"/>
      <c r="C5999" s="535"/>
      <c r="D5999" s="535" t="s">
        <v>2043</v>
      </c>
      <c r="E5999" s="536"/>
      <c r="F5999" s="589" t="str">
        <f ca="1">"$/"&amp;G5932</f>
        <v>$/0</v>
      </c>
      <c r="G5999" s="537">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16" t="s">
        <v>31</v>
      </c>
      <c r="B6001" s="717"/>
      <c r="C6001" s="717"/>
      <c r="D6001" s="717"/>
      <c r="E6001" s="717"/>
      <c r="F6001" s="717"/>
      <c r="G6001" s="718"/>
    </row>
    <row r="6002" spans="1:7" ht="19.899999999999999" customHeight="1" x14ac:dyDescent="0.2">
      <c r="A6002" s="516" t="s">
        <v>711</v>
      </c>
      <c r="B6002" s="467" t="str">
        <f>Comitente</f>
        <v>DIRECCIÓN PROVINCIAL DE VIALIDAD</v>
      </c>
      <c r="C6002" s="468"/>
      <c r="D6002" s="469"/>
      <c r="E6002" s="469"/>
      <c r="F6002" s="470"/>
      <c r="G6002" s="517"/>
    </row>
    <row r="6003" spans="1:7" ht="19.899999999999999" customHeight="1" x14ac:dyDescent="0.2">
      <c r="A6003" s="516" t="s">
        <v>712</v>
      </c>
      <c r="B6003" s="467">
        <f>Contratista</f>
        <v>0</v>
      </c>
      <c r="C6003" s="471"/>
      <c r="D6003" s="471"/>
      <c r="E6003" s="471"/>
      <c r="F6003" s="467"/>
      <c r="G6003" s="518"/>
    </row>
    <row r="6004" spans="1:7" ht="19.899999999999999" customHeight="1" x14ac:dyDescent="0.2">
      <c r="A6004" s="516" t="s">
        <v>21</v>
      </c>
      <c r="B6004" s="467" t="str">
        <f>Obra</f>
        <v>OBRA BÁSICA Y PAVIMENTACIÓN CALLE GÜEMES</v>
      </c>
      <c r="C6004" s="471"/>
      <c r="D6004" s="471"/>
      <c r="E6004" s="471"/>
      <c r="F6004" s="467" t="s">
        <v>32</v>
      </c>
      <c r="G6004" s="518">
        <f>Fecha_Base</f>
        <v>0</v>
      </c>
    </row>
    <row r="6005" spans="1:7" ht="19.899999999999999" customHeight="1" x14ac:dyDescent="0.2">
      <c r="A6005" s="519" t="s">
        <v>710</v>
      </c>
      <c r="B6005" s="472" t="str">
        <f>Ubicación</f>
        <v>Rawson - Santa Lucia</v>
      </c>
      <c r="C6005" s="472"/>
      <c r="D6005" s="473"/>
      <c r="E6005" s="474"/>
      <c r="F6005" s="475"/>
      <c r="G6005" s="520"/>
    </row>
    <row r="6006" spans="1:7" ht="19.899999999999999" customHeight="1" x14ac:dyDescent="0.2">
      <c r="A6006" s="519" t="s">
        <v>33</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22</v>
      </c>
      <c r="B6007" s="477" t="str">
        <f>IFERROR(VLOOKUP(COUNTIF($A$1:A6007,"ANALISIS DE PRECIOS"),T_NumeroItem,2,FALSE),"")</f>
        <v/>
      </c>
      <c r="C6007" s="719">
        <f ca="1">IFERROR(VLOOKUP(B6007,T_Computo_Presupuesto,2,FALSE),0)</f>
        <v>0</v>
      </c>
      <c r="D6007" s="719"/>
      <c r="E6007" s="719"/>
      <c r="F6007" s="472" t="s">
        <v>23</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999</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1000</v>
      </c>
      <c r="D6011" s="482" t="s">
        <v>24</v>
      </c>
      <c r="E6011" s="482" t="s">
        <v>1001</v>
      </c>
      <c r="F6011" s="482" t="s">
        <v>1002</v>
      </c>
      <c r="G6011" s="481" t="s">
        <v>1003</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1004</v>
      </c>
      <c r="D6023" s="472" t="s">
        <v>1001</v>
      </c>
      <c r="E6023" s="538">
        <f>SUMPRODUCT(D6012:D6021,E6012:E6021)</f>
        <v>0</v>
      </c>
      <c r="F6023" s="472" t="s">
        <v>1005</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1006</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06" t="s">
        <v>576</v>
      </c>
      <c r="B6027" s="707"/>
      <c r="C6027" s="708" t="s">
        <v>0</v>
      </c>
      <c r="D6027" s="720" t="s">
        <v>1866</v>
      </c>
      <c r="E6027" s="720" t="s">
        <v>1865</v>
      </c>
      <c r="F6027" s="712" t="s">
        <v>1007</v>
      </c>
      <c r="G6027" s="714" t="s">
        <v>26</v>
      </c>
    </row>
    <row r="6028" spans="1:7" ht="19.899999999999999" customHeight="1" x14ac:dyDescent="0.2">
      <c r="A6028" s="491" t="s">
        <v>577</v>
      </c>
      <c r="B6028" s="491" t="s">
        <v>578</v>
      </c>
      <c r="C6028" s="709"/>
      <c r="D6028" s="721"/>
      <c r="E6028" s="711"/>
      <c r="F6028" s="713"/>
      <c r="G6028" s="715"/>
    </row>
    <row r="6029" spans="1:7" ht="19.899999999999999" customHeight="1" x14ac:dyDescent="0.2">
      <c r="A6029" s="527"/>
      <c r="B6029" s="175"/>
      <c r="C6029" s="469" t="s">
        <v>1008</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27</v>
      </c>
      <c r="G6039" s="531">
        <f>SUBTOTAL(9,G6030:G6038)</f>
        <v>0</v>
      </c>
    </row>
    <row r="6040" spans="1:7" ht="19.899999999999999" customHeight="1" x14ac:dyDescent="0.2">
      <c r="A6040" s="527"/>
      <c r="B6040" s="175"/>
      <c r="C6040" s="469" t="s">
        <v>713</v>
      </c>
      <c r="D6040" s="473"/>
      <c r="E6040" s="474"/>
      <c r="F6040" s="475"/>
      <c r="G6040" s="528"/>
    </row>
    <row r="6041" spans="1:7" ht="19.899999999999999" customHeight="1" x14ac:dyDescent="0.2">
      <c r="A6041" s="706" t="s">
        <v>576</v>
      </c>
      <c r="B6041" s="707"/>
      <c r="C6041" s="708" t="s">
        <v>0</v>
      </c>
      <c r="D6041" s="710" t="s">
        <v>24</v>
      </c>
      <c r="E6041" s="710" t="s">
        <v>1832</v>
      </c>
      <c r="F6041" s="712" t="s">
        <v>1007</v>
      </c>
      <c r="G6041" s="714" t="s">
        <v>26</v>
      </c>
    </row>
    <row r="6042" spans="1:7" ht="19.899999999999999" customHeight="1" x14ac:dyDescent="0.2">
      <c r="A6042" s="491" t="s">
        <v>577</v>
      </c>
      <c r="B6042" s="491" t="s">
        <v>578</v>
      </c>
      <c r="C6042" s="709"/>
      <c r="D6042" s="711"/>
      <c r="E6042" s="711"/>
      <c r="F6042" s="713"/>
      <c r="G6042" s="715"/>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28</v>
      </c>
      <c r="G6050" s="532">
        <f>SUBTOTAL(9,G6043:G6049)</f>
        <v>0</v>
      </c>
    </row>
    <row r="6051" spans="1:7" ht="19.899999999999999" customHeight="1" x14ac:dyDescent="0.2">
      <c r="A6051" s="527"/>
      <c r="B6051" s="175"/>
      <c r="C6051" s="469" t="s">
        <v>1014</v>
      </c>
      <c r="D6051" s="473"/>
      <c r="E6051" s="474"/>
      <c r="F6051" s="475"/>
      <c r="G6051" s="528"/>
    </row>
    <row r="6052" spans="1:7" ht="19.899999999999999" customHeight="1" x14ac:dyDescent="0.2">
      <c r="A6052" s="706" t="s">
        <v>576</v>
      </c>
      <c r="B6052" s="707"/>
      <c r="C6052" s="708" t="s">
        <v>0</v>
      </c>
      <c r="D6052" s="708" t="s">
        <v>1867</v>
      </c>
      <c r="E6052" s="710" t="s">
        <v>24</v>
      </c>
      <c r="F6052" s="712" t="s">
        <v>25</v>
      </c>
      <c r="G6052" s="714" t="s">
        <v>26</v>
      </c>
    </row>
    <row r="6053" spans="1:7" ht="19.899999999999999" customHeight="1" x14ac:dyDescent="0.2">
      <c r="A6053" s="491" t="s">
        <v>577</v>
      </c>
      <c r="B6053" s="491" t="s">
        <v>578</v>
      </c>
      <c r="C6053" s="709"/>
      <c r="D6053" s="709"/>
      <c r="E6053" s="711"/>
      <c r="F6053" s="713"/>
      <c r="G6053" s="715"/>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29</v>
      </c>
      <c r="G6065" s="532">
        <f>SUBTOTAL(9,G6054:G6064)</f>
        <v>0</v>
      </c>
    </row>
    <row r="6066" spans="1:7" ht="19.899999999999999" customHeight="1" x14ac:dyDescent="0.2">
      <c r="A6066" s="527"/>
      <c r="B6066" s="175"/>
      <c r="C6066" s="469" t="s">
        <v>1015</v>
      </c>
      <c r="D6066" s="473"/>
      <c r="E6066" s="474"/>
      <c r="F6066" s="475"/>
      <c r="G6066" s="528"/>
    </row>
    <row r="6067" spans="1:7" ht="19.899999999999999" customHeight="1" x14ac:dyDescent="0.2">
      <c r="A6067" s="706" t="s">
        <v>576</v>
      </c>
      <c r="B6067" s="707"/>
      <c r="C6067" s="708" t="s">
        <v>0</v>
      </c>
      <c r="D6067" s="708" t="s">
        <v>1867</v>
      </c>
      <c r="E6067" s="710" t="s">
        <v>24</v>
      </c>
      <c r="F6067" s="712" t="s">
        <v>25</v>
      </c>
      <c r="G6067" s="714" t="s">
        <v>26</v>
      </c>
    </row>
    <row r="6068" spans="1:7" ht="19.899999999999999" customHeight="1" x14ac:dyDescent="0.2">
      <c r="A6068" s="491" t="s">
        <v>577</v>
      </c>
      <c r="B6068" s="491" t="s">
        <v>578</v>
      </c>
      <c r="C6068" s="709"/>
      <c r="D6068" s="709"/>
      <c r="E6068" s="711"/>
      <c r="F6068" s="713"/>
      <c r="G6068" s="715"/>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1016</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1833</v>
      </c>
      <c r="E6073" s="586"/>
      <c r="F6073" s="587" t="str">
        <f ca="1">"$/"&amp;G6007</f>
        <v>$/0</v>
      </c>
      <c r="G6073" s="537">
        <f>SUBTOTAL(9,G6030:G6072)</f>
        <v>0</v>
      </c>
    </row>
    <row r="6074" spans="1:7" ht="19.899999999999999" customHeight="1" x14ac:dyDescent="0.2">
      <c r="A6074" s="533"/>
      <c r="B6074" s="534"/>
      <c r="C6074" s="535"/>
      <c r="D6074" s="535" t="s">
        <v>2043</v>
      </c>
      <c r="E6074" s="536"/>
      <c r="F6074" s="589" t="str">
        <f ca="1">"$/"&amp;G6007</f>
        <v>$/0</v>
      </c>
      <c r="G6074" s="537">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16" t="s">
        <v>31</v>
      </c>
      <c r="B6076" s="717"/>
      <c r="C6076" s="717"/>
      <c r="D6076" s="717"/>
      <c r="E6076" s="717"/>
      <c r="F6076" s="717"/>
      <c r="G6076" s="718"/>
    </row>
    <row r="6077" spans="1:7" ht="19.899999999999999" customHeight="1" x14ac:dyDescent="0.2">
      <c r="A6077" s="516" t="s">
        <v>711</v>
      </c>
      <c r="B6077" s="467" t="str">
        <f>Comitente</f>
        <v>DIRECCIÓN PROVINCIAL DE VIALIDAD</v>
      </c>
      <c r="C6077" s="468"/>
      <c r="D6077" s="469"/>
      <c r="E6077" s="469"/>
      <c r="F6077" s="470"/>
      <c r="G6077" s="517"/>
    </row>
    <row r="6078" spans="1:7" ht="19.899999999999999" customHeight="1" x14ac:dyDescent="0.2">
      <c r="A6078" s="516" t="s">
        <v>712</v>
      </c>
      <c r="B6078" s="467">
        <f>Contratista</f>
        <v>0</v>
      </c>
      <c r="C6078" s="471"/>
      <c r="D6078" s="471"/>
      <c r="E6078" s="471"/>
      <c r="F6078" s="467"/>
      <c r="G6078" s="518"/>
    </row>
    <row r="6079" spans="1:7" ht="19.899999999999999" customHeight="1" x14ac:dyDescent="0.2">
      <c r="A6079" s="516" t="s">
        <v>21</v>
      </c>
      <c r="B6079" s="467" t="str">
        <f>Obra</f>
        <v>OBRA BÁSICA Y PAVIMENTACIÓN CALLE GÜEMES</v>
      </c>
      <c r="C6079" s="471"/>
      <c r="D6079" s="471"/>
      <c r="E6079" s="471"/>
      <c r="F6079" s="467" t="s">
        <v>32</v>
      </c>
      <c r="G6079" s="518">
        <f>Fecha_Base</f>
        <v>0</v>
      </c>
    </row>
    <row r="6080" spans="1:7" ht="19.899999999999999" customHeight="1" x14ac:dyDescent="0.2">
      <c r="A6080" s="519" t="s">
        <v>710</v>
      </c>
      <c r="B6080" s="472" t="str">
        <f>Ubicación</f>
        <v>Rawson - Santa Lucia</v>
      </c>
      <c r="C6080" s="472"/>
      <c r="D6080" s="473"/>
      <c r="E6080" s="474"/>
      <c r="F6080" s="475"/>
      <c r="G6080" s="520"/>
    </row>
    <row r="6081" spans="1:7" ht="19.899999999999999" customHeight="1" x14ac:dyDescent="0.2">
      <c r="A6081" s="519" t="s">
        <v>33</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22</v>
      </c>
      <c r="B6082" s="477" t="str">
        <f>IFERROR(VLOOKUP(COUNTIF($A$1:A6082,"ANALISIS DE PRECIOS"),T_NumeroItem,2,FALSE),"")</f>
        <v/>
      </c>
      <c r="C6082" s="719">
        <f ca="1">IFERROR(VLOOKUP(B6082,T_Computo_Presupuesto,2,FALSE),0)</f>
        <v>0</v>
      </c>
      <c r="D6082" s="719"/>
      <c r="E6082" s="719"/>
      <c r="F6082" s="472" t="s">
        <v>23</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999</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1000</v>
      </c>
      <c r="D6086" s="482" t="s">
        <v>24</v>
      </c>
      <c r="E6086" s="482" t="s">
        <v>1001</v>
      </c>
      <c r="F6086" s="482" t="s">
        <v>1002</v>
      </c>
      <c r="G6086" s="481" t="s">
        <v>1003</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1004</v>
      </c>
      <c r="D6098" s="472" t="s">
        <v>1001</v>
      </c>
      <c r="E6098" s="538">
        <f>SUMPRODUCT(D6087:D6096,E6087:E6096)</f>
        <v>0</v>
      </c>
      <c r="F6098" s="472" t="s">
        <v>1005</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1006</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06" t="s">
        <v>576</v>
      </c>
      <c r="B6102" s="707"/>
      <c r="C6102" s="708" t="s">
        <v>0</v>
      </c>
      <c r="D6102" s="720" t="s">
        <v>1866</v>
      </c>
      <c r="E6102" s="720" t="s">
        <v>1865</v>
      </c>
      <c r="F6102" s="712" t="s">
        <v>1007</v>
      </c>
      <c r="G6102" s="714" t="s">
        <v>26</v>
      </c>
    </row>
    <row r="6103" spans="1:7" ht="19.899999999999999" customHeight="1" x14ac:dyDescent="0.2">
      <c r="A6103" s="491" t="s">
        <v>577</v>
      </c>
      <c r="B6103" s="491" t="s">
        <v>578</v>
      </c>
      <c r="C6103" s="709"/>
      <c r="D6103" s="721"/>
      <c r="E6103" s="711"/>
      <c r="F6103" s="713"/>
      <c r="G6103" s="715"/>
    </row>
    <row r="6104" spans="1:7" ht="19.899999999999999" customHeight="1" x14ac:dyDescent="0.2">
      <c r="A6104" s="527"/>
      <c r="B6104" s="175"/>
      <c r="C6104" s="469" t="s">
        <v>1008</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27</v>
      </c>
      <c r="G6114" s="531">
        <f>SUBTOTAL(9,G6105:G6113)</f>
        <v>0</v>
      </c>
    </row>
    <row r="6115" spans="1:7" ht="19.899999999999999" customHeight="1" x14ac:dyDescent="0.2">
      <c r="A6115" s="527"/>
      <c r="B6115" s="175"/>
      <c r="C6115" s="469" t="s">
        <v>713</v>
      </c>
      <c r="D6115" s="473"/>
      <c r="E6115" s="474"/>
      <c r="F6115" s="475"/>
      <c r="G6115" s="528"/>
    </row>
    <row r="6116" spans="1:7" ht="19.899999999999999" customHeight="1" x14ac:dyDescent="0.2">
      <c r="A6116" s="706" t="s">
        <v>576</v>
      </c>
      <c r="B6116" s="707"/>
      <c r="C6116" s="708" t="s">
        <v>0</v>
      </c>
      <c r="D6116" s="710" t="s">
        <v>24</v>
      </c>
      <c r="E6116" s="710" t="s">
        <v>1832</v>
      </c>
      <c r="F6116" s="712" t="s">
        <v>1007</v>
      </c>
      <c r="G6116" s="714" t="s">
        <v>26</v>
      </c>
    </row>
    <row r="6117" spans="1:7" ht="19.899999999999999" customHeight="1" x14ac:dyDescent="0.2">
      <c r="A6117" s="491" t="s">
        <v>577</v>
      </c>
      <c r="B6117" s="491" t="s">
        <v>578</v>
      </c>
      <c r="C6117" s="709"/>
      <c r="D6117" s="711"/>
      <c r="E6117" s="711"/>
      <c r="F6117" s="713"/>
      <c r="G6117" s="715"/>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28</v>
      </c>
      <c r="G6125" s="532">
        <f>SUBTOTAL(9,G6118:G6124)</f>
        <v>0</v>
      </c>
    </row>
    <row r="6126" spans="1:7" ht="19.899999999999999" customHeight="1" x14ac:dyDescent="0.2">
      <c r="A6126" s="527"/>
      <c r="B6126" s="175"/>
      <c r="C6126" s="469" t="s">
        <v>1014</v>
      </c>
      <c r="D6126" s="473"/>
      <c r="E6126" s="474"/>
      <c r="F6126" s="475"/>
      <c r="G6126" s="528"/>
    </row>
    <row r="6127" spans="1:7" ht="19.899999999999999" customHeight="1" x14ac:dyDescent="0.2">
      <c r="A6127" s="706" t="s">
        <v>576</v>
      </c>
      <c r="B6127" s="707"/>
      <c r="C6127" s="708" t="s">
        <v>0</v>
      </c>
      <c r="D6127" s="708" t="s">
        <v>1867</v>
      </c>
      <c r="E6127" s="710" t="s">
        <v>24</v>
      </c>
      <c r="F6127" s="712" t="s">
        <v>25</v>
      </c>
      <c r="G6127" s="714" t="s">
        <v>26</v>
      </c>
    </row>
    <row r="6128" spans="1:7" ht="19.899999999999999" customHeight="1" x14ac:dyDescent="0.2">
      <c r="A6128" s="491" t="s">
        <v>577</v>
      </c>
      <c r="B6128" s="491" t="s">
        <v>578</v>
      </c>
      <c r="C6128" s="709"/>
      <c r="D6128" s="709"/>
      <c r="E6128" s="711"/>
      <c r="F6128" s="713"/>
      <c r="G6128" s="715"/>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29</v>
      </c>
      <c r="G6140" s="532">
        <f>SUBTOTAL(9,G6129:G6139)</f>
        <v>0</v>
      </c>
    </row>
    <row r="6141" spans="1:7" ht="19.899999999999999" customHeight="1" x14ac:dyDescent="0.2">
      <c r="A6141" s="527"/>
      <c r="B6141" s="175"/>
      <c r="C6141" s="469" t="s">
        <v>1015</v>
      </c>
      <c r="D6141" s="473"/>
      <c r="E6141" s="474"/>
      <c r="F6141" s="475"/>
      <c r="G6141" s="528"/>
    </row>
    <row r="6142" spans="1:7" ht="19.899999999999999" customHeight="1" x14ac:dyDescent="0.2">
      <c r="A6142" s="706" t="s">
        <v>576</v>
      </c>
      <c r="B6142" s="707"/>
      <c r="C6142" s="708" t="s">
        <v>0</v>
      </c>
      <c r="D6142" s="708" t="s">
        <v>1867</v>
      </c>
      <c r="E6142" s="710" t="s">
        <v>24</v>
      </c>
      <c r="F6142" s="712" t="s">
        <v>25</v>
      </c>
      <c r="G6142" s="714" t="s">
        <v>26</v>
      </c>
    </row>
    <row r="6143" spans="1:7" ht="19.899999999999999" customHeight="1" x14ac:dyDescent="0.2">
      <c r="A6143" s="491" t="s">
        <v>577</v>
      </c>
      <c r="B6143" s="491" t="s">
        <v>578</v>
      </c>
      <c r="C6143" s="709"/>
      <c r="D6143" s="709"/>
      <c r="E6143" s="711"/>
      <c r="F6143" s="713"/>
      <c r="G6143" s="715"/>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1016</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1833</v>
      </c>
      <c r="E6148" s="586"/>
      <c r="F6148" s="587" t="str">
        <f ca="1">"$/"&amp;G6082</f>
        <v>$/0</v>
      </c>
      <c r="G6148" s="537">
        <f>SUBTOTAL(9,G6105:G6147)</f>
        <v>0</v>
      </c>
    </row>
    <row r="6149" spans="1:7" ht="19.899999999999999" customHeight="1" x14ac:dyDescent="0.2">
      <c r="A6149" s="533"/>
      <c r="B6149" s="534"/>
      <c r="C6149" s="535"/>
      <c r="D6149" s="535" t="s">
        <v>2043</v>
      </c>
      <c r="E6149" s="536"/>
      <c r="F6149" s="589" t="str">
        <f ca="1">"$/"&amp;G6082</f>
        <v>$/0</v>
      </c>
      <c r="G6149" s="537">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16" t="s">
        <v>31</v>
      </c>
      <c r="B6151" s="717"/>
      <c r="C6151" s="717"/>
      <c r="D6151" s="717"/>
      <c r="E6151" s="717"/>
      <c r="F6151" s="717"/>
      <c r="G6151" s="718"/>
    </row>
    <row r="6152" spans="1:7" ht="19.899999999999999" customHeight="1" x14ac:dyDescent="0.2">
      <c r="A6152" s="516" t="s">
        <v>711</v>
      </c>
      <c r="B6152" s="467" t="str">
        <f>Comitente</f>
        <v>DIRECCIÓN PROVINCIAL DE VIALIDAD</v>
      </c>
      <c r="C6152" s="468"/>
      <c r="D6152" s="469"/>
      <c r="E6152" s="469"/>
      <c r="F6152" s="470"/>
      <c r="G6152" s="517"/>
    </row>
    <row r="6153" spans="1:7" ht="19.899999999999999" customHeight="1" x14ac:dyDescent="0.2">
      <c r="A6153" s="516" t="s">
        <v>712</v>
      </c>
      <c r="B6153" s="467">
        <f>Contratista</f>
        <v>0</v>
      </c>
      <c r="C6153" s="471"/>
      <c r="D6153" s="471"/>
      <c r="E6153" s="471"/>
      <c r="F6153" s="467"/>
      <c r="G6153" s="518"/>
    </row>
    <row r="6154" spans="1:7" ht="19.899999999999999" customHeight="1" x14ac:dyDescent="0.2">
      <c r="A6154" s="516" t="s">
        <v>21</v>
      </c>
      <c r="B6154" s="467" t="str">
        <f>Obra</f>
        <v>OBRA BÁSICA Y PAVIMENTACIÓN CALLE GÜEMES</v>
      </c>
      <c r="C6154" s="471"/>
      <c r="D6154" s="471"/>
      <c r="E6154" s="471"/>
      <c r="F6154" s="467" t="s">
        <v>32</v>
      </c>
      <c r="G6154" s="518">
        <f>Fecha_Base</f>
        <v>0</v>
      </c>
    </row>
    <row r="6155" spans="1:7" ht="19.899999999999999" customHeight="1" x14ac:dyDescent="0.2">
      <c r="A6155" s="519" t="s">
        <v>710</v>
      </c>
      <c r="B6155" s="472" t="str">
        <f>Ubicación</f>
        <v>Rawson - Santa Lucia</v>
      </c>
      <c r="C6155" s="472"/>
      <c r="D6155" s="473"/>
      <c r="E6155" s="474"/>
      <c r="F6155" s="475"/>
      <c r="G6155" s="520"/>
    </row>
    <row r="6156" spans="1:7" ht="19.899999999999999" customHeight="1" x14ac:dyDescent="0.2">
      <c r="A6156" s="519" t="s">
        <v>33</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22</v>
      </c>
      <c r="B6157" s="477" t="str">
        <f>IFERROR(VLOOKUP(COUNTIF($A$1:A6157,"ANALISIS DE PRECIOS"),T_NumeroItem,2,FALSE),"")</f>
        <v/>
      </c>
      <c r="C6157" s="719">
        <f ca="1">IFERROR(VLOOKUP(B6157,T_Computo_Presupuesto,2,FALSE),0)</f>
        <v>0</v>
      </c>
      <c r="D6157" s="719"/>
      <c r="E6157" s="719"/>
      <c r="F6157" s="472" t="s">
        <v>23</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999</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1000</v>
      </c>
      <c r="D6161" s="482" t="s">
        <v>24</v>
      </c>
      <c r="E6161" s="482" t="s">
        <v>1001</v>
      </c>
      <c r="F6161" s="482" t="s">
        <v>1002</v>
      </c>
      <c r="G6161" s="481" t="s">
        <v>1003</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1004</v>
      </c>
      <c r="D6173" s="472" t="s">
        <v>1001</v>
      </c>
      <c r="E6173" s="538">
        <f>SUMPRODUCT(D6162:D6171,E6162:E6171)</f>
        <v>0</v>
      </c>
      <c r="F6173" s="472" t="s">
        <v>1005</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1006</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06" t="s">
        <v>576</v>
      </c>
      <c r="B6177" s="707"/>
      <c r="C6177" s="708" t="s">
        <v>0</v>
      </c>
      <c r="D6177" s="720" t="s">
        <v>1866</v>
      </c>
      <c r="E6177" s="720" t="s">
        <v>1865</v>
      </c>
      <c r="F6177" s="712" t="s">
        <v>1007</v>
      </c>
      <c r="G6177" s="714" t="s">
        <v>26</v>
      </c>
    </row>
    <row r="6178" spans="1:7" ht="19.899999999999999" customHeight="1" x14ac:dyDescent="0.2">
      <c r="A6178" s="491" t="s">
        <v>577</v>
      </c>
      <c r="B6178" s="491" t="s">
        <v>578</v>
      </c>
      <c r="C6178" s="709"/>
      <c r="D6178" s="721"/>
      <c r="E6178" s="711"/>
      <c r="F6178" s="713"/>
      <c r="G6178" s="715"/>
    </row>
    <row r="6179" spans="1:7" ht="19.899999999999999" customHeight="1" x14ac:dyDescent="0.2">
      <c r="A6179" s="527"/>
      <c r="B6179" s="175"/>
      <c r="C6179" s="469" t="s">
        <v>1008</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27</v>
      </c>
      <c r="G6189" s="531">
        <f>SUBTOTAL(9,G6180:G6188)</f>
        <v>0</v>
      </c>
    </row>
    <row r="6190" spans="1:7" ht="19.899999999999999" customHeight="1" x14ac:dyDescent="0.2">
      <c r="A6190" s="527"/>
      <c r="B6190" s="175"/>
      <c r="C6190" s="469" t="s">
        <v>713</v>
      </c>
      <c r="D6190" s="473"/>
      <c r="E6190" s="474"/>
      <c r="F6190" s="475"/>
      <c r="G6190" s="528"/>
    </row>
    <row r="6191" spans="1:7" ht="19.899999999999999" customHeight="1" x14ac:dyDescent="0.2">
      <c r="A6191" s="706" t="s">
        <v>576</v>
      </c>
      <c r="B6191" s="707"/>
      <c r="C6191" s="708" t="s">
        <v>0</v>
      </c>
      <c r="D6191" s="710" t="s">
        <v>24</v>
      </c>
      <c r="E6191" s="710" t="s">
        <v>1832</v>
      </c>
      <c r="F6191" s="712" t="s">
        <v>1007</v>
      </c>
      <c r="G6191" s="714" t="s">
        <v>26</v>
      </c>
    </row>
    <row r="6192" spans="1:7" ht="19.899999999999999" customHeight="1" x14ac:dyDescent="0.2">
      <c r="A6192" s="491" t="s">
        <v>577</v>
      </c>
      <c r="B6192" s="491" t="s">
        <v>578</v>
      </c>
      <c r="C6192" s="709"/>
      <c r="D6192" s="711"/>
      <c r="E6192" s="711"/>
      <c r="F6192" s="713"/>
      <c r="G6192" s="715"/>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28</v>
      </c>
      <c r="G6200" s="532">
        <f>SUBTOTAL(9,G6193:G6199)</f>
        <v>0</v>
      </c>
    </row>
    <row r="6201" spans="1:7" ht="19.899999999999999" customHeight="1" x14ac:dyDescent="0.2">
      <c r="A6201" s="527"/>
      <c r="B6201" s="175"/>
      <c r="C6201" s="469" t="s">
        <v>1014</v>
      </c>
      <c r="D6201" s="473"/>
      <c r="E6201" s="474"/>
      <c r="F6201" s="475"/>
      <c r="G6201" s="528"/>
    </row>
    <row r="6202" spans="1:7" ht="19.899999999999999" customHeight="1" x14ac:dyDescent="0.2">
      <c r="A6202" s="706" t="s">
        <v>576</v>
      </c>
      <c r="B6202" s="707"/>
      <c r="C6202" s="708" t="s">
        <v>0</v>
      </c>
      <c r="D6202" s="708" t="s">
        <v>1867</v>
      </c>
      <c r="E6202" s="710" t="s">
        <v>24</v>
      </c>
      <c r="F6202" s="712" t="s">
        <v>25</v>
      </c>
      <c r="G6202" s="714" t="s">
        <v>26</v>
      </c>
    </row>
    <row r="6203" spans="1:7" ht="19.899999999999999" customHeight="1" x14ac:dyDescent="0.2">
      <c r="A6203" s="491" t="s">
        <v>577</v>
      </c>
      <c r="B6203" s="491" t="s">
        <v>578</v>
      </c>
      <c r="C6203" s="709"/>
      <c r="D6203" s="709"/>
      <c r="E6203" s="711"/>
      <c r="F6203" s="713"/>
      <c r="G6203" s="715"/>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29</v>
      </c>
      <c r="G6215" s="532">
        <f>SUBTOTAL(9,G6204:G6214)</f>
        <v>0</v>
      </c>
    </row>
    <row r="6216" spans="1:7" ht="19.899999999999999" customHeight="1" x14ac:dyDescent="0.2">
      <c r="A6216" s="527"/>
      <c r="B6216" s="175"/>
      <c r="C6216" s="469" t="s">
        <v>1015</v>
      </c>
      <c r="D6216" s="473"/>
      <c r="E6216" s="474"/>
      <c r="F6216" s="475"/>
      <c r="G6216" s="528"/>
    </row>
    <row r="6217" spans="1:7" ht="19.899999999999999" customHeight="1" x14ac:dyDescent="0.2">
      <c r="A6217" s="706" t="s">
        <v>576</v>
      </c>
      <c r="B6217" s="707"/>
      <c r="C6217" s="708" t="s">
        <v>0</v>
      </c>
      <c r="D6217" s="708" t="s">
        <v>1867</v>
      </c>
      <c r="E6217" s="710" t="s">
        <v>24</v>
      </c>
      <c r="F6217" s="712" t="s">
        <v>25</v>
      </c>
      <c r="G6217" s="714" t="s">
        <v>26</v>
      </c>
    </row>
    <row r="6218" spans="1:7" ht="19.899999999999999" customHeight="1" x14ac:dyDescent="0.2">
      <c r="A6218" s="491" t="s">
        <v>577</v>
      </c>
      <c r="B6218" s="491" t="s">
        <v>578</v>
      </c>
      <c r="C6218" s="709"/>
      <c r="D6218" s="709"/>
      <c r="E6218" s="711"/>
      <c r="F6218" s="713"/>
      <c r="G6218" s="715"/>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1016</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1833</v>
      </c>
      <c r="E6223" s="586"/>
      <c r="F6223" s="587" t="str">
        <f ca="1">"$/"&amp;G6157</f>
        <v>$/0</v>
      </c>
      <c r="G6223" s="537">
        <f>SUBTOTAL(9,G6180:G6222)</f>
        <v>0</v>
      </c>
    </row>
    <row r="6224" spans="1:7" ht="19.899999999999999" customHeight="1" x14ac:dyDescent="0.2">
      <c r="A6224" s="533"/>
      <c r="B6224" s="534"/>
      <c r="C6224" s="535"/>
      <c r="D6224" s="535" t="s">
        <v>2043</v>
      </c>
      <c r="E6224" s="536"/>
      <c r="F6224" s="589" t="str">
        <f ca="1">"$/"&amp;G6157</f>
        <v>$/0</v>
      </c>
      <c r="G6224" s="537">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16" t="s">
        <v>31</v>
      </c>
      <c r="B6226" s="717"/>
      <c r="C6226" s="717"/>
      <c r="D6226" s="717"/>
      <c r="E6226" s="717"/>
      <c r="F6226" s="717"/>
      <c r="G6226" s="718"/>
    </row>
    <row r="6227" spans="1:7" ht="19.899999999999999" customHeight="1" x14ac:dyDescent="0.2">
      <c r="A6227" s="516" t="s">
        <v>711</v>
      </c>
      <c r="B6227" s="467" t="str">
        <f>Comitente</f>
        <v>DIRECCIÓN PROVINCIAL DE VIALIDAD</v>
      </c>
      <c r="C6227" s="468"/>
      <c r="D6227" s="469"/>
      <c r="E6227" s="469"/>
      <c r="F6227" s="470"/>
      <c r="G6227" s="517"/>
    </row>
    <row r="6228" spans="1:7" ht="19.899999999999999" customHeight="1" x14ac:dyDescent="0.2">
      <c r="A6228" s="516" t="s">
        <v>712</v>
      </c>
      <c r="B6228" s="467">
        <f>Contratista</f>
        <v>0</v>
      </c>
      <c r="C6228" s="471"/>
      <c r="D6228" s="471"/>
      <c r="E6228" s="471"/>
      <c r="F6228" s="467"/>
      <c r="G6228" s="518"/>
    </row>
    <row r="6229" spans="1:7" ht="19.899999999999999" customHeight="1" x14ac:dyDescent="0.2">
      <c r="A6229" s="516" t="s">
        <v>21</v>
      </c>
      <c r="B6229" s="467" t="str">
        <f>Obra</f>
        <v>OBRA BÁSICA Y PAVIMENTACIÓN CALLE GÜEMES</v>
      </c>
      <c r="C6229" s="471"/>
      <c r="D6229" s="471"/>
      <c r="E6229" s="471"/>
      <c r="F6229" s="467" t="s">
        <v>32</v>
      </c>
      <c r="G6229" s="518">
        <f>Fecha_Base</f>
        <v>0</v>
      </c>
    </row>
    <row r="6230" spans="1:7" ht="19.899999999999999" customHeight="1" x14ac:dyDescent="0.2">
      <c r="A6230" s="519" t="s">
        <v>710</v>
      </c>
      <c r="B6230" s="472" t="str">
        <f>Ubicación</f>
        <v>Rawson - Santa Lucia</v>
      </c>
      <c r="C6230" s="472"/>
      <c r="D6230" s="473"/>
      <c r="E6230" s="474"/>
      <c r="F6230" s="475"/>
      <c r="G6230" s="520"/>
    </row>
    <row r="6231" spans="1:7" ht="19.899999999999999" customHeight="1" x14ac:dyDescent="0.2">
      <c r="A6231" s="519" t="s">
        <v>33</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22</v>
      </c>
      <c r="B6232" s="477" t="str">
        <f>IFERROR(VLOOKUP(COUNTIF($A$1:A6232,"ANALISIS DE PRECIOS"),T_NumeroItem,2,FALSE),"")</f>
        <v/>
      </c>
      <c r="C6232" s="719">
        <f ca="1">IFERROR(VLOOKUP(B6232,T_Computo_Presupuesto,2,FALSE),0)</f>
        <v>0</v>
      </c>
      <c r="D6232" s="719"/>
      <c r="E6232" s="719"/>
      <c r="F6232" s="472" t="s">
        <v>23</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999</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1000</v>
      </c>
      <c r="D6236" s="482" t="s">
        <v>24</v>
      </c>
      <c r="E6236" s="482" t="s">
        <v>1001</v>
      </c>
      <c r="F6236" s="482" t="s">
        <v>1002</v>
      </c>
      <c r="G6236" s="481" t="s">
        <v>1003</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1004</v>
      </c>
      <c r="D6248" s="472" t="s">
        <v>1001</v>
      </c>
      <c r="E6248" s="538">
        <f>SUMPRODUCT(D6237:D6246,E6237:E6246)</f>
        <v>0</v>
      </c>
      <c r="F6248" s="472" t="s">
        <v>1005</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1006</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06" t="s">
        <v>576</v>
      </c>
      <c r="B6252" s="707"/>
      <c r="C6252" s="708" t="s">
        <v>0</v>
      </c>
      <c r="D6252" s="720" t="s">
        <v>1866</v>
      </c>
      <c r="E6252" s="720" t="s">
        <v>1865</v>
      </c>
      <c r="F6252" s="712" t="s">
        <v>1007</v>
      </c>
      <c r="G6252" s="714" t="s">
        <v>26</v>
      </c>
    </row>
    <row r="6253" spans="1:7" ht="19.899999999999999" customHeight="1" x14ac:dyDescent="0.2">
      <c r="A6253" s="491" t="s">
        <v>577</v>
      </c>
      <c r="B6253" s="491" t="s">
        <v>578</v>
      </c>
      <c r="C6253" s="709"/>
      <c r="D6253" s="721"/>
      <c r="E6253" s="711"/>
      <c r="F6253" s="713"/>
      <c r="G6253" s="715"/>
    </row>
    <row r="6254" spans="1:7" ht="19.899999999999999" customHeight="1" x14ac:dyDescent="0.2">
      <c r="A6254" s="527"/>
      <c r="B6254" s="175"/>
      <c r="C6254" s="469" t="s">
        <v>1008</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27</v>
      </c>
      <c r="G6264" s="531">
        <f>SUBTOTAL(9,G6255:G6263)</f>
        <v>0</v>
      </c>
    </row>
    <row r="6265" spans="1:7" ht="19.899999999999999" customHeight="1" x14ac:dyDescent="0.2">
      <c r="A6265" s="527"/>
      <c r="B6265" s="175"/>
      <c r="C6265" s="469" t="s">
        <v>713</v>
      </c>
      <c r="D6265" s="473"/>
      <c r="E6265" s="474"/>
      <c r="F6265" s="475"/>
      <c r="G6265" s="528"/>
    </row>
    <row r="6266" spans="1:7" ht="19.899999999999999" customHeight="1" x14ac:dyDescent="0.2">
      <c r="A6266" s="706" t="s">
        <v>576</v>
      </c>
      <c r="B6266" s="707"/>
      <c r="C6266" s="708" t="s">
        <v>0</v>
      </c>
      <c r="D6266" s="710" t="s">
        <v>24</v>
      </c>
      <c r="E6266" s="710" t="s">
        <v>1832</v>
      </c>
      <c r="F6266" s="712" t="s">
        <v>1007</v>
      </c>
      <c r="G6266" s="714" t="s">
        <v>26</v>
      </c>
    </row>
    <row r="6267" spans="1:7" ht="19.899999999999999" customHeight="1" x14ac:dyDescent="0.2">
      <c r="A6267" s="491" t="s">
        <v>577</v>
      </c>
      <c r="B6267" s="491" t="s">
        <v>578</v>
      </c>
      <c r="C6267" s="709"/>
      <c r="D6267" s="711"/>
      <c r="E6267" s="711"/>
      <c r="F6267" s="713"/>
      <c r="G6267" s="715"/>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28</v>
      </c>
      <c r="G6275" s="532">
        <f>SUBTOTAL(9,G6268:G6274)</f>
        <v>0</v>
      </c>
    </row>
    <row r="6276" spans="1:7" ht="19.899999999999999" customHeight="1" x14ac:dyDescent="0.2">
      <c r="A6276" s="527"/>
      <c r="B6276" s="175"/>
      <c r="C6276" s="469" t="s">
        <v>1014</v>
      </c>
      <c r="D6276" s="473"/>
      <c r="E6276" s="474"/>
      <c r="F6276" s="475"/>
      <c r="G6276" s="528"/>
    </row>
    <row r="6277" spans="1:7" ht="19.899999999999999" customHeight="1" x14ac:dyDescent="0.2">
      <c r="A6277" s="706" t="s">
        <v>576</v>
      </c>
      <c r="B6277" s="707"/>
      <c r="C6277" s="708" t="s">
        <v>0</v>
      </c>
      <c r="D6277" s="708" t="s">
        <v>1867</v>
      </c>
      <c r="E6277" s="710" t="s">
        <v>24</v>
      </c>
      <c r="F6277" s="712" t="s">
        <v>25</v>
      </c>
      <c r="G6277" s="714" t="s">
        <v>26</v>
      </c>
    </row>
    <row r="6278" spans="1:7" ht="19.899999999999999" customHeight="1" x14ac:dyDescent="0.2">
      <c r="A6278" s="491" t="s">
        <v>577</v>
      </c>
      <c r="B6278" s="491" t="s">
        <v>578</v>
      </c>
      <c r="C6278" s="709"/>
      <c r="D6278" s="709"/>
      <c r="E6278" s="711"/>
      <c r="F6278" s="713"/>
      <c r="G6278" s="715"/>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29</v>
      </c>
      <c r="G6290" s="532">
        <f>SUBTOTAL(9,G6279:G6289)</f>
        <v>0</v>
      </c>
    </row>
    <row r="6291" spans="1:7" ht="19.899999999999999" customHeight="1" x14ac:dyDescent="0.2">
      <c r="A6291" s="527"/>
      <c r="B6291" s="175"/>
      <c r="C6291" s="469" t="s">
        <v>1015</v>
      </c>
      <c r="D6291" s="473"/>
      <c r="E6291" s="474"/>
      <c r="F6291" s="475"/>
      <c r="G6291" s="528"/>
    </row>
    <row r="6292" spans="1:7" ht="19.899999999999999" customHeight="1" x14ac:dyDescent="0.2">
      <c r="A6292" s="706" t="s">
        <v>576</v>
      </c>
      <c r="B6292" s="707"/>
      <c r="C6292" s="708" t="s">
        <v>0</v>
      </c>
      <c r="D6292" s="708" t="s">
        <v>1867</v>
      </c>
      <c r="E6292" s="710" t="s">
        <v>24</v>
      </c>
      <c r="F6292" s="712" t="s">
        <v>25</v>
      </c>
      <c r="G6292" s="714" t="s">
        <v>26</v>
      </c>
    </row>
    <row r="6293" spans="1:7" ht="19.899999999999999" customHeight="1" x14ac:dyDescent="0.2">
      <c r="A6293" s="491" t="s">
        <v>577</v>
      </c>
      <c r="B6293" s="491" t="s">
        <v>578</v>
      </c>
      <c r="C6293" s="709"/>
      <c r="D6293" s="709"/>
      <c r="E6293" s="711"/>
      <c r="F6293" s="713"/>
      <c r="G6293" s="715"/>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1016</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1833</v>
      </c>
      <c r="E6298" s="586"/>
      <c r="F6298" s="587" t="str">
        <f ca="1">"$/"&amp;G6232</f>
        <v>$/0</v>
      </c>
      <c r="G6298" s="537">
        <f>SUBTOTAL(9,G6255:G6297)</f>
        <v>0</v>
      </c>
    </row>
    <row r="6299" spans="1:7" ht="19.899999999999999" customHeight="1" x14ac:dyDescent="0.2">
      <c r="A6299" s="533"/>
      <c r="B6299" s="534"/>
      <c r="C6299" s="535"/>
      <c r="D6299" s="535" t="s">
        <v>2043</v>
      </c>
      <c r="E6299" s="536"/>
      <c r="F6299" s="589" t="str">
        <f ca="1">"$/"&amp;G6232</f>
        <v>$/0</v>
      </c>
      <c r="G6299" s="537">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16" t="s">
        <v>31</v>
      </c>
      <c r="B6301" s="717"/>
      <c r="C6301" s="717"/>
      <c r="D6301" s="717"/>
      <c r="E6301" s="717"/>
      <c r="F6301" s="717"/>
      <c r="G6301" s="718"/>
    </row>
    <row r="6302" spans="1:7" ht="19.899999999999999" customHeight="1" x14ac:dyDescent="0.2">
      <c r="A6302" s="516" t="s">
        <v>711</v>
      </c>
      <c r="B6302" s="467" t="str">
        <f>Comitente</f>
        <v>DIRECCIÓN PROVINCIAL DE VIALIDAD</v>
      </c>
      <c r="C6302" s="468"/>
      <c r="D6302" s="469"/>
      <c r="E6302" s="469"/>
      <c r="F6302" s="470"/>
      <c r="G6302" s="517"/>
    </row>
    <row r="6303" spans="1:7" ht="19.899999999999999" customHeight="1" x14ac:dyDescent="0.2">
      <c r="A6303" s="516" t="s">
        <v>712</v>
      </c>
      <c r="B6303" s="467">
        <f>Contratista</f>
        <v>0</v>
      </c>
      <c r="C6303" s="471"/>
      <c r="D6303" s="471"/>
      <c r="E6303" s="471"/>
      <c r="F6303" s="467"/>
      <c r="G6303" s="518"/>
    </row>
    <row r="6304" spans="1:7" ht="19.899999999999999" customHeight="1" x14ac:dyDescent="0.2">
      <c r="A6304" s="516" t="s">
        <v>21</v>
      </c>
      <c r="B6304" s="467" t="str">
        <f>Obra</f>
        <v>OBRA BÁSICA Y PAVIMENTACIÓN CALLE GÜEMES</v>
      </c>
      <c r="C6304" s="471"/>
      <c r="D6304" s="471"/>
      <c r="E6304" s="471"/>
      <c r="F6304" s="467" t="s">
        <v>32</v>
      </c>
      <c r="G6304" s="518">
        <f>Fecha_Base</f>
        <v>0</v>
      </c>
    </row>
    <row r="6305" spans="1:7" ht="19.899999999999999" customHeight="1" x14ac:dyDescent="0.2">
      <c r="A6305" s="519" t="s">
        <v>710</v>
      </c>
      <c r="B6305" s="472" t="str">
        <f>Ubicación</f>
        <v>Rawson - Santa Lucia</v>
      </c>
      <c r="C6305" s="472"/>
      <c r="D6305" s="473"/>
      <c r="E6305" s="474"/>
      <c r="F6305" s="475"/>
      <c r="G6305" s="520"/>
    </row>
    <row r="6306" spans="1:7" ht="19.899999999999999" customHeight="1" x14ac:dyDescent="0.2">
      <c r="A6306" s="519" t="s">
        <v>33</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22</v>
      </c>
      <c r="B6307" s="477" t="str">
        <f>IFERROR(VLOOKUP(COUNTIF($A$1:A6307,"ANALISIS DE PRECIOS"),T_NumeroItem,2,FALSE),"")</f>
        <v/>
      </c>
      <c r="C6307" s="719">
        <f ca="1">IFERROR(VLOOKUP(B6307,T_Computo_Presupuesto,2,FALSE),0)</f>
        <v>0</v>
      </c>
      <c r="D6307" s="719"/>
      <c r="E6307" s="719"/>
      <c r="F6307" s="472" t="s">
        <v>23</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999</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1000</v>
      </c>
      <c r="D6311" s="482" t="s">
        <v>24</v>
      </c>
      <c r="E6311" s="482" t="s">
        <v>1001</v>
      </c>
      <c r="F6311" s="482" t="s">
        <v>1002</v>
      </c>
      <c r="G6311" s="481" t="s">
        <v>1003</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1004</v>
      </c>
      <c r="D6323" s="472" t="s">
        <v>1001</v>
      </c>
      <c r="E6323" s="538">
        <f>SUMPRODUCT(D6312:D6321,E6312:E6321)</f>
        <v>0</v>
      </c>
      <c r="F6323" s="472" t="s">
        <v>1005</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1006</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06" t="s">
        <v>576</v>
      </c>
      <c r="B6327" s="707"/>
      <c r="C6327" s="708" t="s">
        <v>0</v>
      </c>
      <c r="D6327" s="720" t="s">
        <v>1866</v>
      </c>
      <c r="E6327" s="720" t="s">
        <v>1865</v>
      </c>
      <c r="F6327" s="712" t="s">
        <v>1007</v>
      </c>
      <c r="G6327" s="714" t="s">
        <v>26</v>
      </c>
    </row>
    <row r="6328" spans="1:7" ht="19.899999999999999" customHeight="1" x14ac:dyDescent="0.2">
      <c r="A6328" s="491" t="s">
        <v>577</v>
      </c>
      <c r="B6328" s="491" t="s">
        <v>578</v>
      </c>
      <c r="C6328" s="709"/>
      <c r="D6328" s="721"/>
      <c r="E6328" s="711"/>
      <c r="F6328" s="713"/>
      <c r="G6328" s="715"/>
    </row>
    <row r="6329" spans="1:7" ht="19.899999999999999" customHeight="1" x14ac:dyDescent="0.2">
      <c r="A6329" s="527"/>
      <c r="B6329" s="175"/>
      <c r="C6329" s="469" t="s">
        <v>1008</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27</v>
      </c>
      <c r="G6339" s="531">
        <f>SUBTOTAL(9,G6330:G6338)</f>
        <v>0</v>
      </c>
    </row>
    <row r="6340" spans="1:7" ht="19.899999999999999" customHeight="1" x14ac:dyDescent="0.2">
      <c r="A6340" s="527"/>
      <c r="B6340" s="175"/>
      <c r="C6340" s="469" t="s">
        <v>713</v>
      </c>
      <c r="D6340" s="473"/>
      <c r="E6340" s="474"/>
      <c r="F6340" s="475"/>
      <c r="G6340" s="528"/>
    </row>
    <row r="6341" spans="1:7" ht="19.899999999999999" customHeight="1" x14ac:dyDescent="0.2">
      <c r="A6341" s="706" t="s">
        <v>576</v>
      </c>
      <c r="B6341" s="707"/>
      <c r="C6341" s="708" t="s">
        <v>0</v>
      </c>
      <c r="D6341" s="710" t="s">
        <v>24</v>
      </c>
      <c r="E6341" s="710" t="s">
        <v>1832</v>
      </c>
      <c r="F6341" s="712" t="s">
        <v>1007</v>
      </c>
      <c r="G6341" s="714" t="s">
        <v>26</v>
      </c>
    </row>
    <row r="6342" spans="1:7" ht="19.899999999999999" customHeight="1" x14ac:dyDescent="0.2">
      <c r="A6342" s="491" t="s">
        <v>577</v>
      </c>
      <c r="B6342" s="491" t="s">
        <v>578</v>
      </c>
      <c r="C6342" s="709"/>
      <c r="D6342" s="711"/>
      <c r="E6342" s="711"/>
      <c r="F6342" s="713"/>
      <c r="G6342" s="715"/>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28</v>
      </c>
      <c r="G6350" s="532">
        <f>SUBTOTAL(9,G6343:G6349)</f>
        <v>0</v>
      </c>
    </row>
    <row r="6351" spans="1:7" ht="19.899999999999999" customHeight="1" x14ac:dyDescent="0.2">
      <c r="A6351" s="527"/>
      <c r="B6351" s="175"/>
      <c r="C6351" s="469" t="s">
        <v>1014</v>
      </c>
      <c r="D6351" s="473"/>
      <c r="E6351" s="474"/>
      <c r="F6351" s="475"/>
      <c r="G6351" s="528"/>
    </row>
    <row r="6352" spans="1:7" ht="19.899999999999999" customHeight="1" x14ac:dyDescent="0.2">
      <c r="A6352" s="706" t="s">
        <v>576</v>
      </c>
      <c r="B6352" s="707"/>
      <c r="C6352" s="708" t="s">
        <v>0</v>
      </c>
      <c r="D6352" s="708" t="s">
        <v>1867</v>
      </c>
      <c r="E6352" s="710" t="s">
        <v>24</v>
      </c>
      <c r="F6352" s="712" t="s">
        <v>25</v>
      </c>
      <c r="G6352" s="714" t="s">
        <v>26</v>
      </c>
    </row>
    <row r="6353" spans="1:7" ht="19.899999999999999" customHeight="1" x14ac:dyDescent="0.2">
      <c r="A6353" s="491" t="s">
        <v>577</v>
      </c>
      <c r="B6353" s="491" t="s">
        <v>578</v>
      </c>
      <c r="C6353" s="709"/>
      <c r="D6353" s="709"/>
      <c r="E6353" s="711"/>
      <c r="F6353" s="713"/>
      <c r="G6353" s="715"/>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29</v>
      </c>
      <c r="G6365" s="532">
        <f>SUBTOTAL(9,G6354:G6364)</f>
        <v>0</v>
      </c>
    </row>
    <row r="6366" spans="1:7" ht="19.899999999999999" customHeight="1" x14ac:dyDescent="0.2">
      <c r="A6366" s="527"/>
      <c r="B6366" s="175"/>
      <c r="C6366" s="469" t="s">
        <v>1015</v>
      </c>
      <c r="D6366" s="473"/>
      <c r="E6366" s="474"/>
      <c r="F6366" s="475"/>
      <c r="G6366" s="528"/>
    </row>
    <row r="6367" spans="1:7" ht="19.899999999999999" customHeight="1" x14ac:dyDescent="0.2">
      <c r="A6367" s="706" t="s">
        <v>576</v>
      </c>
      <c r="B6367" s="707"/>
      <c r="C6367" s="708" t="s">
        <v>0</v>
      </c>
      <c r="D6367" s="708" t="s">
        <v>1867</v>
      </c>
      <c r="E6367" s="710" t="s">
        <v>24</v>
      </c>
      <c r="F6367" s="712" t="s">
        <v>25</v>
      </c>
      <c r="G6367" s="714" t="s">
        <v>26</v>
      </c>
    </row>
    <row r="6368" spans="1:7" ht="19.899999999999999" customHeight="1" x14ac:dyDescent="0.2">
      <c r="A6368" s="491" t="s">
        <v>577</v>
      </c>
      <c r="B6368" s="491" t="s">
        <v>578</v>
      </c>
      <c r="C6368" s="709"/>
      <c r="D6368" s="709"/>
      <c r="E6368" s="711"/>
      <c r="F6368" s="713"/>
      <c r="G6368" s="715"/>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1016</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1833</v>
      </c>
      <c r="E6373" s="586"/>
      <c r="F6373" s="587" t="str">
        <f ca="1">"$/"&amp;G6307</f>
        <v>$/0</v>
      </c>
      <c r="G6373" s="537">
        <f>SUBTOTAL(9,G6330:G6372)</f>
        <v>0</v>
      </c>
    </row>
    <row r="6374" spans="1:7" ht="19.899999999999999" customHeight="1" x14ac:dyDescent="0.2">
      <c r="A6374" s="533"/>
      <c r="B6374" s="534"/>
      <c r="C6374" s="535"/>
      <c r="D6374" s="535" t="s">
        <v>2043</v>
      </c>
      <c r="E6374" s="536"/>
      <c r="F6374" s="589" t="str">
        <f ca="1">"$/"&amp;G6307</f>
        <v>$/0</v>
      </c>
      <c r="G6374" s="537">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16" t="s">
        <v>31</v>
      </c>
      <c r="B6376" s="717"/>
      <c r="C6376" s="717"/>
      <c r="D6376" s="717"/>
      <c r="E6376" s="717"/>
      <c r="F6376" s="717"/>
      <c r="G6376" s="718"/>
    </row>
    <row r="6377" spans="1:7" ht="19.899999999999999" customHeight="1" x14ac:dyDescent="0.2">
      <c r="A6377" s="516" t="s">
        <v>711</v>
      </c>
      <c r="B6377" s="467" t="str">
        <f>Comitente</f>
        <v>DIRECCIÓN PROVINCIAL DE VIALIDAD</v>
      </c>
      <c r="C6377" s="468"/>
      <c r="D6377" s="469"/>
      <c r="E6377" s="469"/>
      <c r="F6377" s="470"/>
      <c r="G6377" s="517"/>
    </row>
    <row r="6378" spans="1:7" ht="19.899999999999999" customHeight="1" x14ac:dyDescent="0.2">
      <c r="A6378" s="516" t="s">
        <v>712</v>
      </c>
      <c r="B6378" s="467">
        <f>Contratista</f>
        <v>0</v>
      </c>
      <c r="C6378" s="471"/>
      <c r="D6378" s="471"/>
      <c r="E6378" s="471"/>
      <c r="F6378" s="467"/>
      <c r="G6378" s="518"/>
    </row>
    <row r="6379" spans="1:7" ht="19.899999999999999" customHeight="1" x14ac:dyDescent="0.2">
      <c r="A6379" s="516" t="s">
        <v>21</v>
      </c>
      <c r="B6379" s="467" t="str">
        <f>Obra</f>
        <v>OBRA BÁSICA Y PAVIMENTACIÓN CALLE GÜEMES</v>
      </c>
      <c r="C6379" s="471"/>
      <c r="D6379" s="471"/>
      <c r="E6379" s="471"/>
      <c r="F6379" s="467" t="s">
        <v>32</v>
      </c>
      <c r="G6379" s="518">
        <f>Fecha_Base</f>
        <v>0</v>
      </c>
    </row>
    <row r="6380" spans="1:7" ht="19.899999999999999" customHeight="1" x14ac:dyDescent="0.2">
      <c r="A6380" s="519" t="s">
        <v>710</v>
      </c>
      <c r="B6380" s="472" t="str">
        <f>Ubicación</f>
        <v>Rawson - Santa Lucia</v>
      </c>
      <c r="C6380" s="472"/>
      <c r="D6380" s="473"/>
      <c r="E6380" s="474"/>
      <c r="F6380" s="475"/>
      <c r="G6380" s="520"/>
    </row>
    <row r="6381" spans="1:7" ht="19.899999999999999" customHeight="1" x14ac:dyDescent="0.2">
      <c r="A6381" s="519" t="s">
        <v>33</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22</v>
      </c>
      <c r="B6382" s="477" t="str">
        <f>IFERROR(VLOOKUP(COUNTIF($A$1:A6382,"ANALISIS DE PRECIOS"),T_NumeroItem,2,FALSE),"")</f>
        <v/>
      </c>
      <c r="C6382" s="719">
        <f ca="1">IFERROR(VLOOKUP(B6382,T_Computo_Presupuesto,2,FALSE),0)</f>
        <v>0</v>
      </c>
      <c r="D6382" s="719"/>
      <c r="E6382" s="719"/>
      <c r="F6382" s="472" t="s">
        <v>23</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999</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1000</v>
      </c>
      <c r="D6386" s="482" t="s">
        <v>24</v>
      </c>
      <c r="E6386" s="482" t="s">
        <v>1001</v>
      </c>
      <c r="F6386" s="482" t="s">
        <v>1002</v>
      </c>
      <c r="G6386" s="481" t="s">
        <v>1003</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1004</v>
      </c>
      <c r="D6398" s="472" t="s">
        <v>1001</v>
      </c>
      <c r="E6398" s="538">
        <f>SUMPRODUCT(D6387:D6396,E6387:E6396)</f>
        <v>0</v>
      </c>
      <c r="F6398" s="472" t="s">
        <v>1005</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1006</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06" t="s">
        <v>576</v>
      </c>
      <c r="B6402" s="707"/>
      <c r="C6402" s="708" t="s">
        <v>0</v>
      </c>
      <c r="D6402" s="720" t="s">
        <v>1866</v>
      </c>
      <c r="E6402" s="720" t="s">
        <v>1865</v>
      </c>
      <c r="F6402" s="712" t="s">
        <v>1007</v>
      </c>
      <c r="G6402" s="714" t="s">
        <v>26</v>
      </c>
    </row>
    <row r="6403" spans="1:7" ht="19.899999999999999" customHeight="1" x14ac:dyDescent="0.2">
      <c r="A6403" s="491" t="s">
        <v>577</v>
      </c>
      <c r="B6403" s="491" t="s">
        <v>578</v>
      </c>
      <c r="C6403" s="709"/>
      <c r="D6403" s="721"/>
      <c r="E6403" s="711"/>
      <c r="F6403" s="713"/>
      <c r="G6403" s="715"/>
    </row>
    <row r="6404" spans="1:7" ht="19.899999999999999" customHeight="1" x14ac:dyDescent="0.2">
      <c r="A6404" s="527"/>
      <c r="B6404" s="175"/>
      <c r="C6404" s="469" t="s">
        <v>1008</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27</v>
      </c>
      <c r="G6414" s="531">
        <f>SUBTOTAL(9,G6405:G6413)</f>
        <v>0</v>
      </c>
    </row>
    <row r="6415" spans="1:7" ht="19.899999999999999" customHeight="1" x14ac:dyDescent="0.2">
      <c r="A6415" s="527"/>
      <c r="B6415" s="175"/>
      <c r="C6415" s="469" t="s">
        <v>713</v>
      </c>
      <c r="D6415" s="473"/>
      <c r="E6415" s="474"/>
      <c r="F6415" s="475"/>
      <c r="G6415" s="528"/>
    </row>
    <row r="6416" spans="1:7" ht="19.899999999999999" customHeight="1" x14ac:dyDescent="0.2">
      <c r="A6416" s="706" t="s">
        <v>576</v>
      </c>
      <c r="B6416" s="707"/>
      <c r="C6416" s="708" t="s">
        <v>0</v>
      </c>
      <c r="D6416" s="710" t="s">
        <v>24</v>
      </c>
      <c r="E6416" s="710" t="s">
        <v>1832</v>
      </c>
      <c r="F6416" s="712" t="s">
        <v>1007</v>
      </c>
      <c r="G6416" s="714" t="s">
        <v>26</v>
      </c>
    </row>
    <row r="6417" spans="1:7" ht="19.899999999999999" customHeight="1" x14ac:dyDescent="0.2">
      <c r="A6417" s="491" t="s">
        <v>577</v>
      </c>
      <c r="B6417" s="491" t="s">
        <v>578</v>
      </c>
      <c r="C6417" s="709"/>
      <c r="D6417" s="711"/>
      <c r="E6417" s="711"/>
      <c r="F6417" s="713"/>
      <c r="G6417" s="715"/>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28</v>
      </c>
      <c r="G6425" s="532">
        <f>SUBTOTAL(9,G6418:G6424)</f>
        <v>0</v>
      </c>
    </row>
    <row r="6426" spans="1:7" ht="19.899999999999999" customHeight="1" x14ac:dyDescent="0.2">
      <c r="A6426" s="527"/>
      <c r="B6426" s="175"/>
      <c r="C6426" s="469" t="s">
        <v>1014</v>
      </c>
      <c r="D6426" s="473"/>
      <c r="E6426" s="474"/>
      <c r="F6426" s="475"/>
      <c r="G6426" s="528"/>
    </row>
    <row r="6427" spans="1:7" ht="19.899999999999999" customHeight="1" x14ac:dyDescent="0.2">
      <c r="A6427" s="706" t="s">
        <v>576</v>
      </c>
      <c r="B6427" s="707"/>
      <c r="C6427" s="708" t="s">
        <v>0</v>
      </c>
      <c r="D6427" s="708" t="s">
        <v>1867</v>
      </c>
      <c r="E6427" s="710" t="s">
        <v>24</v>
      </c>
      <c r="F6427" s="712" t="s">
        <v>25</v>
      </c>
      <c r="G6427" s="714" t="s">
        <v>26</v>
      </c>
    </row>
    <row r="6428" spans="1:7" ht="19.899999999999999" customHeight="1" x14ac:dyDescent="0.2">
      <c r="A6428" s="491" t="s">
        <v>577</v>
      </c>
      <c r="B6428" s="491" t="s">
        <v>578</v>
      </c>
      <c r="C6428" s="709"/>
      <c r="D6428" s="709"/>
      <c r="E6428" s="711"/>
      <c r="F6428" s="713"/>
      <c r="G6428" s="715"/>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29</v>
      </c>
      <c r="G6440" s="532">
        <f>SUBTOTAL(9,G6429:G6439)</f>
        <v>0</v>
      </c>
    </row>
    <row r="6441" spans="1:7" ht="19.899999999999999" customHeight="1" x14ac:dyDescent="0.2">
      <c r="A6441" s="527"/>
      <c r="B6441" s="175"/>
      <c r="C6441" s="469" t="s">
        <v>1015</v>
      </c>
      <c r="D6441" s="473"/>
      <c r="E6441" s="474"/>
      <c r="F6441" s="475"/>
      <c r="G6441" s="528"/>
    </row>
    <row r="6442" spans="1:7" ht="19.899999999999999" customHeight="1" x14ac:dyDescent="0.2">
      <c r="A6442" s="706" t="s">
        <v>576</v>
      </c>
      <c r="B6442" s="707"/>
      <c r="C6442" s="708" t="s">
        <v>0</v>
      </c>
      <c r="D6442" s="708" t="s">
        <v>1867</v>
      </c>
      <c r="E6442" s="710" t="s">
        <v>24</v>
      </c>
      <c r="F6442" s="712" t="s">
        <v>25</v>
      </c>
      <c r="G6442" s="714" t="s">
        <v>26</v>
      </c>
    </row>
    <row r="6443" spans="1:7" ht="19.899999999999999" customHeight="1" x14ac:dyDescent="0.2">
      <c r="A6443" s="491" t="s">
        <v>577</v>
      </c>
      <c r="B6443" s="491" t="s">
        <v>578</v>
      </c>
      <c r="C6443" s="709"/>
      <c r="D6443" s="709"/>
      <c r="E6443" s="711"/>
      <c r="F6443" s="713"/>
      <c r="G6443" s="715"/>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1016</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1833</v>
      </c>
      <c r="E6448" s="586"/>
      <c r="F6448" s="587" t="str">
        <f ca="1">"$/"&amp;G6382</f>
        <v>$/0</v>
      </c>
      <c r="G6448" s="537">
        <f>SUBTOTAL(9,G6405:G6447)</f>
        <v>0</v>
      </c>
    </row>
    <row r="6449" spans="1:7" ht="19.899999999999999" customHeight="1" x14ac:dyDescent="0.2">
      <c r="A6449" s="533"/>
      <c r="B6449" s="534"/>
      <c r="C6449" s="535"/>
      <c r="D6449" s="535" t="s">
        <v>2043</v>
      </c>
      <c r="E6449" s="536"/>
      <c r="F6449" s="589" t="str">
        <f ca="1">"$/"&amp;G6382</f>
        <v>$/0</v>
      </c>
      <c r="G6449" s="537">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16" t="s">
        <v>31</v>
      </c>
      <c r="B6451" s="717"/>
      <c r="C6451" s="717"/>
      <c r="D6451" s="717"/>
      <c r="E6451" s="717"/>
      <c r="F6451" s="717"/>
      <c r="G6451" s="718"/>
    </row>
    <row r="6452" spans="1:7" ht="19.899999999999999" customHeight="1" x14ac:dyDescent="0.2">
      <c r="A6452" s="516" t="s">
        <v>711</v>
      </c>
      <c r="B6452" s="467" t="str">
        <f>Comitente</f>
        <v>DIRECCIÓN PROVINCIAL DE VIALIDAD</v>
      </c>
      <c r="C6452" s="468"/>
      <c r="D6452" s="469"/>
      <c r="E6452" s="469"/>
      <c r="F6452" s="470"/>
      <c r="G6452" s="517"/>
    </row>
    <row r="6453" spans="1:7" ht="19.899999999999999" customHeight="1" x14ac:dyDescent="0.2">
      <c r="A6453" s="516" t="s">
        <v>712</v>
      </c>
      <c r="B6453" s="467">
        <f>Contratista</f>
        <v>0</v>
      </c>
      <c r="C6453" s="471"/>
      <c r="D6453" s="471"/>
      <c r="E6453" s="471"/>
      <c r="F6453" s="467"/>
      <c r="G6453" s="518"/>
    </row>
    <row r="6454" spans="1:7" ht="19.899999999999999" customHeight="1" x14ac:dyDescent="0.2">
      <c r="A6454" s="516" t="s">
        <v>21</v>
      </c>
      <c r="B6454" s="467" t="str">
        <f>Obra</f>
        <v>OBRA BÁSICA Y PAVIMENTACIÓN CALLE GÜEMES</v>
      </c>
      <c r="C6454" s="471"/>
      <c r="D6454" s="471"/>
      <c r="E6454" s="471"/>
      <c r="F6454" s="467" t="s">
        <v>32</v>
      </c>
      <c r="G6454" s="518">
        <f>Fecha_Base</f>
        <v>0</v>
      </c>
    </row>
    <row r="6455" spans="1:7" ht="19.899999999999999" customHeight="1" x14ac:dyDescent="0.2">
      <c r="A6455" s="519" t="s">
        <v>710</v>
      </c>
      <c r="B6455" s="472" t="str">
        <f>Ubicación</f>
        <v>Rawson - Santa Lucia</v>
      </c>
      <c r="C6455" s="472"/>
      <c r="D6455" s="473"/>
      <c r="E6455" s="474"/>
      <c r="F6455" s="475"/>
      <c r="G6455" s="520"/>
    </row>
    <row r="6456" spans="1:7" ht="19.899999999999999" customHeight="1" x14ac:dyDescent="0.2">
      <c r="A6456" s="519" t="s">
        <v>33</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22</v>
      </c>
      <c r="B6457" s="477" t="str">
        <f>IFERROR(VLOOKUP(COUNTIF($A$1:A6457,"ANALISIS DE PRECIOS"),T_NumeroItem,2,FALSE),"")</f>
        <v/>
      </c>
      <c r="C6457" s="719">
        <f ca="1">IFERROR(VLOOKUP(B6457,T_Computo_Presupuesto,2,FALSE),0)</f>
        <v>0</v>
      </c>
      <c r="D6457" s="719"/>
      <c r="E6457" s="719"/>
      <c r="F6457" s="472" t="s">
        <v>23</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999</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1000</v>
      </c>
      <c r="D6461" s="482" t="s">
        <v>24</v>
      </c>
      <c r="E6461" s="482" t="s">
        <v>1001</v>
      </c>
      <c r="F6461" s="482" t="s">
        <v>1002</v>
      </c>
      <c r="G6461" s="481" t="s">
        <v>1003</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1004</v>
      </c>
      <c r="D6473" s="472" t="s">
        <v>1001</v>
      </c>
      <c r="E6473" s="538">
        <f>SUMPRODUCT(D6462:D6471,E6462:E6471)</f>
        <v>0</v>
      </c>
      <c r="F6473" s="472" t="s">
        <v>1005</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1006</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06" t="s">
        <v>576</v>
      </c>
      <c r="B6477" s="707"/>
      <c r="C6477" s="708" t="s">
        <v>0</v>
      </c>
      <c r="D6477" s="720" t="s">
        <v>1866</v>
      </c>
      <c r="E6477" s="720" t="s">
        <v>1865</v>
      </c>
      <c r="F6477" s="712" t="s">
        <v>1007</v>
      </c>
      <c r="G6477" s="714" t="s">
        <v>26</v>
      </c>
    </row>
    <row r="6478" spans="1:7" ht="19.899999999999999" customHeight="1" x14ac:dyDescent="0.2">
      <c r="A6478" s="491" t="s">
        <v>577</v>
      </c>
      <c r="B6478" s="491" t="s">
        <v>578</v>
      </c>
      <c r="C6478" s="709"/>
      <c r="D6478" s="721"/>
      <c r="E6478" s="711"/>
      <c r="F6478" s="713"/>
      <c r="G6478" s="715"/>
    </row>
    <row r="6479" spans="1:7" ht="19.899999999999999" customHeight="1" x14ac:dyDescent="0.2">
      <c r="A6479" s="527"/>
      <c r="B6479" s="175"/>
      <c r="C6479" s="469" t="s">
        <v>1008</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27</v>
      </c>
      <c r="G6489" s="531">
        <f>SUBTOTAL(9,G6480:G6488)</f>
        <v>0</v>
      </c>
    </row>
    <row r="6490" spans="1:7" ht="19.899999999999999" customHeight="1" x14ac:dyDescent="0.2">
      <c r="A6490" s="527"/>
      <c r="B6490" s="175"/>
      <c r="C6490" s="469" t="s">
        <v>713</v>
      </c>
      <c r="D6490" s="473"/>
      <c r="E6490" s="474"/>
      <c r="F6490" s="475"/>
      <c r="G6490" s="528"/>
    </row>
    <row r="6491" spans="1:7" ht="19.899999999999999" customHeight="1" x14ac:dyDescent="0.2">
      <c r="A6491" s="706" t="s">
        <v>576</v>
      </c>
      <c r="B6491" s="707"/>
      <c r="C6491" s="708" t="s">
        <v>0</v>
      </c>
      <c r="D6491" s="710" t="s">
        <v>24</v>
      </c>
      <c r="E6491" s="710" t="s">
        <v>1832</v>
      </c>
      <c r="F6491" s="712" t="s">
        <v>1007</v>
      </c>
      <c r="G6491" s="714" t="s">
        <v>26</v>
      </c>
    </row>
    <row r="6492" spans="1:7" ht="19.899999999999999" customHeight="1" x14ac:dyDescent="0.2">
      <c r="A6492" s="491" t="s">
        <v>577</v>
      </c>
      <c r="B6492" s="491" t="s">
        <v>578</v>
      </c>
      <c r="C6492" s="709"/>
      <c r="D6492" s="711"/>
      <c r="E6492" s="711"/>
      <c r="F6492" s="713"/>
      <c r="G6492" s="715"/>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28</v>
      </c>
      <c r="G6500" s="532">
        <f>SUBTOTAL(9,G6493:G6499)</f>
        <v>0</v>
      </c>
    </row>
    <row r="6501" spans="1:7" ht="19.899999999999999" customHeight="1" x14ac:dyDescent="0.2">
      <c r="A6501" s="527"/>
      <c r="B6501" s="175"/>
      <c r="C6501" s="469" t="s">
        <v>1014</v>
      </c>
      <c r="D6501" s="473"/>
      <c r="E6501" s="474"/>
      <c r="F6501" s="475"/>
      <c r="G6501" s="528"/>
    </row>
    <row r="6502" spans="1:7" ht="19.899999999999999" customHeight="1" x14ac:dyDescent="0.2">
      <c r="A6502" s="706" t="s">
        <v>576</v>
      </c>
      <c r="B6502" s="707"/>
      <c r="C6502" s="708" t="s">
        <v>0</v>
      </c>
      <c r="D6502" s="708" t="s">
        <v>1867</v>
      </c>
      <c r="E6502" s="710" t="s">
        <v>24</v>
      </c>
      <c r="F6502" s="712" t="s">
        <v>25</v>
      </c>
      <c r="G6502" s="714" t="s">
        <v>26</v>
      </c>
    </row>
    <row r="6503" spans="1:7" ht="19.899999999999999" customHeight="1" x14ac:dyDescent="0.2">
      <c r="A6503" s="491" t="s">
        <v>577</v>
      </c>
      <c r="B6503" s="491" t="s">
        <v>578</v>
      </c>
      <c r="C6503" s="709"/>
      <c r="D6503" s="709"/>
      <c r="E6503" s="711"/>
      <c r="F6503" s="713"/>
      <c r="G6503" s="715"/>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29</v>
      </c>
      <c r="G6515" s="532">
        <f>SUBTOTAL(9,G6504:G6514)</f>
        <v>0</v>
      </c>
    </row>
    <row r="6516" spans="1:7" ht="19.899999999999999" customHeight="1" x14ac:dyDescent="0.2">
      <c r="A6516" s="527"/>
      <c r="B6516" s="175"/>
      <c r="C6516" s="469" t="s">
        <v>1015</v>
      </c>
      <c r="D6516" s="473"/>
      <c r="E6516" s="474"/>
      <c r="F6516" s="475"/>
      <c r="G6516" s="528"/>
    </row>
    <row r="6517" spans="1:7" ht="19.899999999999999" customHeight="1" x14ac:dyDescent="0.2">
      <c r="A6517" s="706" t="s">
        <v>576</v>
      </c>
      <c r="B6517" s="707"/>
      <c r="C6517" s="708" t="s">
        <v>0</v>
      </c>
      <c r="D6517" s="708" t="s">
        <v>1867</v>
      </c>
      <c r="E6517" s="710" t="s">
        <v>24</v>
      </c>
      <c r="F6517" s="712" t="s">
        <v>25</v>
      </c>
      <c r="G6517" s="714" t="s">
        <v>26</v>
      </c>
    </row>
    <row r="6518" spans="1:7" ht="19.899999999999999" customHeight="1" x14ac:dyDescent="0.2">
      <c r="A6518" s="491" t="s">
        <v>577</v>
      </c>
      <c r="B6518" s="491" t="s">
        <v>578</v>
      </c>
      <c r="C6518" s="709"/>
      <c r="D6518" s="709"/>
      <c r="E6518" s="711"/>
      <c r="F6518" s="713"/>
      <c r="G6518" s="715"/>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1016</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1833</v>
      </c>
      <c r="E6523" s="586"/>
      <c r="F6523" s="587" t="str">
        <f ca="1">"$/"&amp;G6457</f>
        <v>$/0</v>
      </c>
      <c r="G6523" s="537">
        <f>SUBTOTAL(9,G6480:G6522)</f>
        <v>0</v>
      </c>
    </row>
    <row r="6524" spans="1:7" ht="19.899999999999999" customHeight="1" x14ac:dyDescent="0.2">
      <c r="A6524" s="533"/>
      <c r="B6524" s="534"/>
      <c r="C6524" s="535"/>
      <c r="D6524" s="535" t="s">
        <v>2043</v>
      </c>
      <c r="E6524" s="536"/>
      <c r="F6524" s="589" t="str">
        <f ca="1">"$/"&amp;G6457</f>
        <v>$/0</v>
      </c>
      <c r="G6524" s="537">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16" t="s">
        <v>31</v>
      </c>
      <c r="B6526" s="717"/>
      <c r="C6526" s="717"/>
      <c r="D6526" s="717"/>
      <c r="E6526" s="717"/>
      <c r="F6526" s="717"/>
      <c r="G6526" s="718"/>
    </row>
    <row r="6527" spans="1:7" ht="19.899999999999999" customHeight="1" x14ac:dyDescent="0.2">
      <c r="A6527" s="516" t="s">
        <v>711</v>
      </c>
      <c r="B6527" s="467" t="str">
        <f>Comitente</f>
        <v>DIRECCIÓN PROVINCIAL DE VIALIDAD</v>
      </c>
      <c r="C6527" s="468"/>
      <c r="D6527" s="469"/>
      <c r="E6527" s="469"/>
      <c r="F6527" s="470"/>
      <c r="G6527" s="517"/>
    </row>
    <row r="6528" spans="1:7" ht="19.899999999999999" customHeight="1" x14ac:dyDescent="0.2">
      <c r="A6528" s="516" t="s">
        <v>712</v>
      </c>
      <c r="B6528" s="467">
        <f>Contratista</f>
        <v>0</v>
      </c>
      <c r="C6528" s="471"/>
      <c r="D6528" s="471"/>
      <c r="E6528" s="471"/>
      <c r="F6528" s="467"/>
      <c r="G6528" s="518"/>
    </row>
    <row r="6529" spans="1:7" ht="19.899999999999999" customHeight="1" x14ac:dyDescent="0.2">
      <c r="A6529" s="516" t="s">
        <v>21</v>
      </c>
      <c r="B6529" s="467" t="str">
        <f>Obra</f>
        <v>OBRA BÁSICA Y PAVIMENTACIÓN CALLE GÜEMES</v>
      </c>
      <c r="C6529" s="471"/>
      <c r="D6529" s="471"/>
      <c r="E6529" s="471"/>
      <c r="F6529" s="467" t="s">
        <v>32</v>
      </c>
      <c r="G6529" s="518">
        <f>Fecha_Base</f>
        <v>0</v>
      </c>
    </row>
    <row r="6530" spans="1:7" ht="19.899999999999999" customHeight="1" x14ac:dyDescent="0.2">
      <c r="A6530" s="519" t="s">
        <v>710</v>
      </c>
      <c r="B6530" s="472" t="str">
        <f>Ubicación</f>
        <v>Rawson - Santa Lucia</v>
      </c>
      <c r="C6530" s="472"/>
      <c r="D6530" s="473"/>
      <c r="E6530" s="474"/>
      <c r="F6530" s="475"/>
      <c r="G6530" s="520"/>
    </row>
    <row r="6531" spans="1:7" ht="19.899999999999999" customHeight="1" x14ac:dyDescent="0.2">
      <c r="A6531" s="519" t="s">
        <v>33</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22</v>
      </c>
      <c r="B6532" s="477" t="str">
        <f>IFERROR(VLOOKUP(COUNTIF($A$1:A6532,"ANALISIS DE PRECIOS"),T_NumeroItem,2,FALSE),"")</f>
        <v/>
      </c>
      <c r="C6532" s="719">
        <f ca="1">IFERROR(VLOOKUP(B6532,T_Computo_Presupuesto,2,FALSE),0)</f>
        <v>0</v>
      </c>
      <c r="D6532" s="719"/>
      <c r="E6532" s="719"/>
      <c r="F6532" s="472" t="s">
        <v>23</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999</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1000</v>
      </c>
      <c r="D6536" s="482" t="s">
        <v>24</v>
      </c>
      <c r="E6536" s="482" t="s">
        <v>1001</v>
      </c>
      <c r="F6536" s="482" t="s">
        <v>1002</v>
      </c>
      <c r="G6536" s="481" t="s">
        <v>1003</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1004</v>
      </c>
      <c r="D6548" s="472" t="s">
        <v>1001</v>
      </c>
      <c r="E6548" s="538">
        <f>SUMPRODUCT(D6537:D6546,E6537:E6546)</f>
        <v>0</v>
      </c>
      <c r="F6548" s="472" t="s">
        <v>1005</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1006</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06" t="s">
        <v>576</v>
      </c>
      <c r="B6552" s="707"/>
      <c r="C6552" s="708" t="s">
        <v>0</v>
      </c>
      <c r="D6552" s="720" t="s">
        <v>1866</v>
      </c>
      <c r="E6552" s="720" t="s">
        <v>1865</v>
      </c>
      <c r="F6552" s="712" t="s">
        <v>1007</v>
      </c>
      <c r="G6552" s="714" t="s">
        <v>26</v>
      </c>
    </row>
    <row r="6553" spans="1:7" ht="19.899999999999999" customHeight="1" x14ac:dyDescent="0.2">
      <c r="A6553" s="491" t="s">
        <v>577</v>
      </c>
      <c r="B6553" s="491" t="s">
        <v>578</v>
      </c>
      <c r="C6553" s="709"/>
      <c r="D6553" s="721"/>
      <c r="E6553" s="711"/>
      <c r="F6553" s="713"/>
      <c r="G6553" s="715"/>
    </row>
    <row r="6554" spans="1:7" ht="19.899999999999999" customHeight="1" x14ac:dyDescent="0.2">
      <c r="A6554" s="527"/>
      <c r="B6554" s="175"/>
      <c r="C6554" s="469" t="s">
        <v>1008</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27</v>
      </c>
      <c r="G6564" s="531">
        <f>SUBTOTAL(9,G6555:G6563)</f>
        <v>0</v>
      </c>
    </row>
    <row r="6565" spans="1:7" ht="19.899999999999999" customHeight="1" x14ac:dyDescent="0.2">
      <c r="A6565" s="527"/>
      <c r="B6565" s="175"/>
      <c r="C6565" s="469" t="s">
        <v>713</v>
      </c>
      <c r="D6565" s="473"/>
      <c r="E6565" s="474"/>
      <c r="F6565" s="475"/>
      <c r="G6565" s="528"/>
    </row>
    <row r="6566" spans="1:7" ht="19.899999999999999" customHeight="1" x14ac:dyDescent="0.2">
      <c r="A6566" s="706" t="s">
        <v>576</v>
      </c>
      <c r="B6566" s="707"/>
      <c r="C6566" s="708" t="s">
        <v>0</v>
      </c>
      <c r="D6566" s="710" t="s">
        <v>24</v>
      </c>
      <c r="E6566" s="710" t="s">
        <v>1832</v>
      </c>
      <c r="F6566" s="712" t="s">
        <v>1007</v>
      </c>
      <c r="G6566" s="714" t="s">
        <v>26</v>
      </c>
    </row>
    <row r="6567" spans="1:7" ht="19.899999999999999" customHeight="1" x14ac:dyDescent="0.2">
      <c r="A6567" s="491" t="s">
        <v>577</v>
      </c>
      <c r="B6567" s="491" t="s">
        <v>578</v>
      </c>
      <c r="C6567" s="709"/>
      <c r="D6567" s="711"/>
      <c r="E6567" s="711"/>
      <c r="F6567" s="713"/>
      <c r="G6567" s="715"/>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28</v>
      </c>
      <c r="G6575" s="532">
        <f>SUBTOTAL(9,G6568:G6574)</f>
        <v>0</v>
      </c>
    </row>
    <row r="6576" spans="1:7" ht="19.899999999999999" customHeight="1" x14ac:dyDescent="0.2">
      <c r="A6576" s="527"/>
      <c r="B6576" s="175"/>
      <c r="C6576" s="469" t="s">
        <v>1014</v>
      </c>
      <c r="D6576" s="473"/>
      <c r="E6576" s="474"/>
      <c r="F6576" s="475"/>
      <c r="G6576" s="528"/>
    </row>
    <row r="6577" spans="1:7" ht="19.899999999999999" customHeight="1" x14ac:dyDescent="0.2">
      <c r="A6577" s="706" t="s">
        <v>576</v>
      </c>
      <c r="B6577" s="707"/>
      <c r="C6577" s="708" t="s">
        <v>0</v>
      </c>
      <c r="D6577" s="708" t="s">
        <v>1867</v>
      </c>
      <c r="E6577" s="710" t="s">
        <v>24</v>
      </c>
      <c r="F6577" s="712" t="s">
        <v>25</v>
      </c>
      <c r="G6577" s="714" t="s">
        <v>26</v>
      </c>
    </row>
    <row r="6578" spans="1:7" ht="19.899999999999999" customHeight="1" x14ac:dyDescent="0.2">
      <c r="A6578" s="491" t="s">
        <v>577</v>
      </c>
      <c r="B6578" s="491" t="s">
        <v>578</v>
      </c>
      <c r="C6578" s="709"/>
      <c r="D6578" s="709"/>
      <c r="E6578" s="711"/>
      <c r="F6578" s="713"/>
      <c r="G6578" s="715"/>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29</v>
      </c>
      <c r="G6590" s="532">
        <f>SUBTOTAL(9,G6579:G6589)</f>
        <v>0</v>
      </c>
    </row>
    <row r="6591" spans="1:7" ht="19.899999999999999" customHeight="1" x14ac:dyDescent="0.2">
      <c r="A6591" s="527"/>
      <c r="B6591" s="175"/>
      <c r="C6591" s="469" t="s">
        <v>1015</v>
      </c>
      <c r="D6591" s="473"/>
      <c r="E6591" s="474"/>
      <c r="F6591" s="475"/>
      <c r="G6591" s="528"/>
    </row>
    <row r="6592" spans="1:7" ht="19.899999999999999" customHeight="1" x14ac:dyDescent="0.2">
      <c r="A6592" s="706" t="s">
        <v>576</v>
      </c>
      <c r="B6592" s="707"/>
      <c r="C6592" s="708" t="s">
        <v>0</v>
      </c>
      <c r="D6592" s="708" t="s">
        <v>1867</v>
      </c>
      <c r="E6592" s="710" t="s">
        <v>24</v>
      </c>
      <c r="F6592" s="712" t="s">
        <v>25</v>
      </c>
      <c r="G6592" s="714" t="s">
        <v>26</v>
      </c>
    </row>
    <row r="6593" spans="1:7" ht="19.899999999999999" customHeight="1" x14ac:dyDescent="0.2">
      <c r="A6593" s="491" t="s">
        <v>577</v>
      </c>
      <c r="B6593" s="491" t="s">
        <v>578</v>
      </c>
      <c r="C6593" s="709"/>
      <c r="D6593" s="709"/>
      <c r="E6593" s="711"/>
      <c r="F6593" s="713"/>
      <c r="G6593" s="715"/>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1016</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1833</v>
      </c>
      <c r="E6598" s="586"/>
      <c r="F6598" s="587" t="str">
        <f ca="1">"$/"&amp;G6532</f>
        <v>$/0</v>
      </c>
      <c r="G6598" s="537">
        <f>SUBTOTAL(9,G6555:G6597)</f>
        <v>0</v>
      </c>
    </row>
    <row r="6599" spans="1:7" ht="19.899999999999999" customHeight="1" x14ac:dyDescent="0.2">
      <c r="A6599" s="533"/>
      <c r="B6599" s="534"/>
      <c r="C6599" s="535"/>
      <c r="D6599" s="535" t="s">
        <v>2043</v>
      </c>
      <c r="E6599" s="536"/>
      <c r="F6599" s="589" t="str">
        <f ca="1">"$/"&amp;G6532</f>
        <v>$/0</v>
      </c>
      <c r="G6599" s="537">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16" t="s">
        <v>31</v>
      </c>
      <c r="B6601" s="717"/>
      <c r="C6601" s="717"/>
      <c r="D6601" s="717"/>
      <c r="E6601" s="717"/>
      <c r="F6601" s="717"/>
      <c r="G6601" s="718"/>
    </row>
    <row r="6602" spans="1:7" ht="19.899999999999999" customHeight="1" x14ac:dyDescent="0.2">
      <c r="A6602" s="516" t="s">
        <v>711</v>
      </c>
      <c r="B6602" s="467" t="str">
        <f>Comitente</f>
        <v>DIRECCIÓN PROVINCIAL DE VIALIDAD</v>
      </c>
      <c r="C6602" s="468"/>
      <c r="D6602" s="469"/>
      <c r="E6602" s="469"/>
      <c r="F6602" s="470"/>
      <c r="G6602" s="517"/>
    </row>
    <row r="6603" spans="1:7" ht="19.899999999999999" customHeight="1" x14ac:dyDescent="0.2">
      <c r="A6603" s="516" t="s">
        <v>712</v>
      </c>
      <c r="B6603" s="467">
        <f>Contratista</f>
        <v>0</v>
      </c>
      <c r="C6603" s="471"/>
      <c r="D6603" s="471"/>
      <c r="E6603" s="471"/>
      <c r="F6603" s="467"/>
      <c r="G6603" s="518"/>
    </row>
    <row r="6604" spans="1:7" ht="19.899999999999999" customHeight="1" x14ac:dyDescent="0.2">
      <c r="A6604" s="516" t="s">
        <v>21</v>
      </c>
      <c r="B6604" s="467" t="str">
        <f>Obra</f>
        <v>OBRA BÁSICA Y PAVIMENTACIÓN CALLE GÜEMES</v>
      </c>
      <c r="C6604" s="471"/>
      <c r="D6604" s="471"/>
      <c r="E6604" s="471"/>
      <c r="F6604" s="467" t="s">
        <v>32</v>
      </c>
      <c r="G6604" s="518">
        <f>Fecha_Base</f>
        <v>0</v>
      </c>
    </row>
    <row r="6605" spans="1:7" ht="19.899999999999999" customHeight="1" x14ac:dyDescent="0.2">
      <c r="A6605" s="519" t="s">
        <v>710</v>
      </c>
      <c r="B6605" s="472" t="str">
        <f>Ubicación</f>
        <v>Rawson - Santa Lucia</v>
      </c>
      <c r="C6605" s="472"/>
      <c r="D6605" s="473"/>
      <c r="E6605" s="474"/>
      <c r="F6605" s="475"/>
      <c r="G6605" s="520"/>
    </row>
    <row r="6606" spans="1:7" ht="19.899999999999999" customHeight="1" x14ac:dyDescent="0.2">
      <c r="A6606" s="519" t="s">
        <v>33</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22</v>
      </c>
      <c r="B6607" s="477" t="str">
        <f>IFERROR(VLOOKUP(COUNTIF($A$1:A6607,"ANALISIS DE PRECIOS"),T_NumeroItem,2,FALSE),"")</f>
        <v/>
      </c>
      <c r="C6607" s="719">
        <f ca="1">IFERROR(VLOOKUP(B6607,T_Computo_Presupuesto,2,FALSE),0)</f>
        <v>0</v>
      </c>
      <c r="D6607" s="719"/>
      <c r="E6607" s="719"/>
      <c r="F6607" s="472" t="s">
        <v>23</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999</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1000</v>
      </c>
      <c r="D6611" s="482" t="s">
        <v>24</v>
      </c>
      <c r="E6611" s="482" t="s">
        <v>1001</v>
      </c>
      <c r="F6611" s="482" t="s">
        <v>1002</v>
      </c>
      <c r="G6611" s="481" t="s">
        <v>1003</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1004</v>
      </c>
      <c r="D6623" s="472" t="s">
        <v>1001</v>
      </c>
      <c r="E6623" s="538">
        <f>SUMPRODUCT(D6612:D6621,E6612:E6621)</f>
        <v>0</v>
      </c>
      <c r="F6623" s="472" t="s">
        <v>1005</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1006</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06" t="s">
        <v>576</v>
      </c>
      <c r="B6627" s="707"/>
      <c r="C6627" s="708" t="s">
        <v>0</v>
      </c>
      <c r="D6627" s="720" t="s">
        <v>1866</v>
      </c>
      <c r="E6627" s="720" t="s">
        <v>1865</v>
      </c>
      <c r="F6627" s="712" t="s">
        <v>1007</v>
      </c>
      <c r="G6627" s="714" t="s">
        <v>26</v>
      </c>
    </row>
    <row r="6628" spans="1:7" ht="19.899999999999999" customHeight="1" x14ac:dyDescent="0.2">
      <c r="A6628" s="491" t="s">
        <v>577</v>
      </c>
      <c r="B6628" s="491" t="s">
        <v>578</v>
      </c>
      <c r="C6628" s="709"/>
      <c r="D6628" s="721"/>
      <c r="E6628" s="711"/>
      <c r="F6628" s="713"/>
      <c r="G6628" s="715"/>
    </row>
    <row r="6629" spans="1:7" ht="19.899999999999999" customHeight="1" x14ac:dyDescent="0.2">
      <c r="A6629" s="527"/>
      <c r="B6629" s="175"/>
      <c r="C6629" s="469" t="s">
        <v>1008</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27</v>
      </c>
      <c r="G6639" s="531">
        <f>SUBTOTAL(9,G6630:G6638)</f>
        <v>0</v>
      </c>
    </row>
    <row r="6640" spans="1:7" ht="19.899999999999999" customHeight="1" x14ac:dyDescent="0.2">
      <c r="A6640" s="527"/>
      <c r="B6640" s="175"/>
      <c r="C6640" s="469" t="s">
        <v>713</v>
      </c>
      <c r="D6640" s="473"/>
      <c r="E6640" s="474"/>
      <c r="F6640" s="475"/>
      <c r="G6640" s="528"/>
    </row>
    <row r="6641" spans="1:7" ht="19.899999999999999" customHeight="1" x14ac:dyDescent="0.2">
      <c r="A6641" s="706" t="s">
        <v>576</v>
      </c>
      <c r="B6641" s="707"/>
      <c r="C6641" s="708" t="s">
        <v>0</v>
      </c>
      <c r="D6641" s="710" t="s">
        <v>24</v>
      </c>
      <c r="E6641" s="710" t="s">
        <v>1832</v>
      </c>
      <c r="F6641" s="712" t="s">
        <v>1007</v>
      </c>
      <c r="G6641" s="714" t="s">
        <v>26</v>
      </c>
    </row>
    <row r="6642" spans="1:7" ht="19.899999999999999" customHeight="1" x14ac:dyDescent="0.2">
      <c r="A6642" s="491" t="s">
        <v>577</v>
      </c>
      <c r="B6642" s="491" t="s">
        <v>578</v>
      </c>
      <c r="C6642" s="709"/>
      <c r="D6642" s="711"/>
      <c r="E6642" s="711"/>
      <c r="F6642" s="713"/>
      <c r="G6642" s="715"/>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28</v>
      </c>
      <c r="G6650" s="532">
        <f>SUBTOTAL(9,G6643:G6649)</f>
        <v>0</v>
      </c>
    </row>
    <row r="6651" spans="1:7" ht="19.899999999999999" customHeight="1" x14ac:dyDescent="0.2">
      <c r="A6651" s="527"/>
      <c r="B6651" s="175"/>
      <c r="C6651" s="469" t="s">
        <v>1014</v>
      </c>
      <c r="D6651" s="473"/>
      <c r="E6651" s="474"/>
      <c r="F6651" s="475"/>
      <c r="G6651" s="528"/>
    </row>
    <row r="6652" spans="1:7" ht="19.899999999999999" customHeight="1" x14ac:dyDescent="0.2">
      <c r="A6652" s="706" t="s">
        <v>576</v>
      </c>
      <c r="B6652" s="707"/>
      <c r="C6652" s="708" t="s">
        <v>0</v>
      </c>
      <c r="D6652" s="708" t="s">
        <v>1867</v>
      </c>
      <c r="E6652" s="710" t="s">
        <v>24</v>
      </c>
      <c r="F6652" s="712" t="s">
        <v>25</v>
      </c>
      <c r="G6652" s="714" t="s">
        <v>26</v>
      </c>
    </row>
    <row r="6653" spans="1:7" ht="19.899999999999999" customHeight="1" x14ac:dyDescent="0.2">
      <c r="A6653" s="491" t="s">
        <v>577</v>
      </c>
      <c r="B6653" s="491" t="s">
        <v>578</v>
      </c>
      <c r="C6653" s="709"/>
      <c r="D6653" s="709"/>
      <c r="E6653" s="711"/>
      <c r="F6653" s="713"/>
      <c r="G6653" s="715"/>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29</v>
      </c>
      <c r="G6665" s="532">
        <f>SUBTOTAL(9,G6654:G6664)</f>
        <v>0</v>
      </c>
    </row>
    <row r="6666" spans="1:7" ht="19.899999999999999" customHeight="1" x14ac:dyDescent="0.2">
      <c r="A6666" s="527"/>
      <c r="B6666" s="175"/>
      <c r="C6666" s="469" t="s">
        <v>1015</v>
      </c>
      <c r="D6666" s="473"/>
      <c r="E6666" s="474"/>
      <c r="F6666" s="475"/>
      <c r="G6666" s="528"/>
    </row>
    <row r="6667" spans="1:7" ht="19.899999999999999" customHeight="1" x14ac:dyDescent="0.2">
      <c r="A6667" s="706" t="s">
        <v>576</v>
      </c>
      <c r="B6667" s="707"/>
      <c r="C6667" s="708" t="s">
        <v>0</v>
      </c>
      <c r="D6667" s="708" t="s">
        <v>1867</v>
      </c>
      <c r="E6667" s="710" t="s">
        <v>24</v>
      </c>
      <c r="F6667" s="712" t="s">
        <v>25</v>
      </c>
      <c r="G6667" s="714" t="s">
        <v>26</v>
      </c>
    </row>
    <row r="6668" spans="1:7" ht="19.899999999999999" customHeight="1" x14ac:dyDescent="0.2">
      <c r="A6668" s="491" t="s">
        <v>577</v>
      </c>
      <c r="B6668" s="491" t="s">
        <v>578</v>
      </c>
      <c r="C6668" s="709"/>
      <c r="D6668" s="709"/>
      <c r="E6668" s="711"/>
      <c r="F6668" s="713"/>
      <c r="G6668" s="715"/>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1016</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1833</v>
      </c>
      <c r="E6673" s="586"/>
      <c r="F6673" s="587" t="str">
        <f ca="1">"$/"&amp;G6607</f>
        <v>$/0</v>
      </c>
      <c r="G6673" s="537">
        <f>SUBTOTAL(9,G6630:G6672)</f>
        <v>0</v>
      </c>
    </row>
    <row r="6674" spans="1:7" ht="19.899999999999999" customHeight="1" x14ac:dyDescent="0.2">
      <c r="A6674" s="533"/>
      <c r="B6674" s="534"/>
      <c r="C6674" s="535"/>
      <c r="D6674" s="535" t="s">
        <v>2043</v>
      </c>
      <c r="E6674" s="536"/>
      <c r="F6674" s="589" t="str">
        <f ca="1">"$/"&amp;G6607</f>
        <v>$/0</v>
      </c>
      <c r="G6674" s="537">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16" t="s">
        <v>31</v>
      </c>
      <c r="B6676" s="717"/>
      <c r="C6676" s="717"/>
      <c r="D6676" s="717"/>
      <c r="E6676" s="717"/>
      <c r="F6676" s="717"/>
      <c r="G6676" s="718"/>
    </row>
    <row r="6677" spans="1:7" ht="19.899999999999999" customHeight="1" x14ac:dyDescent="0.2">
      <c r="A6677" s="516" t="s">
        <v>711</v>
      </c>
      <c r="B6677" s="467" t="str">
        <f>Comitente</f>
        <v>DIRECCIÓN PROVINCIAL DE VIALIDAD</v>
      </c>
      <c r="C6677" s="468"/>
      <c r="D6677" s="469"/>
      <c r="E6677" s="469"/>
      <c r="F6677" s="470"/>
      <c r="G6677" s="517"/>
    </row>
    <row r="6678" spans="1:7" ht="19.899999999999999" customHeight="1" x14ac:dyDescent="0.2">
      <c r="A6678" s="516" t="s">
        <v>712</v>
      </c>
      <c r="B6678" s="467">
        <f>Contratista</f>
        <v>0</v>
      </c>
      <c r="C6678" s="471"/>
      <c r="D6678" s="471"/>
      <c r="E6678" s="471"/>
      <c r="F6678" s="467"/>
      <c r="G6678" s="518"/>
    </row>
    <row r="6679" spans="1:7" ht="19.899999999999999" customHeight="1" x14ac:dyDescent="0.2">
      <c r="A6679" s="516" t="s">
        <v>21</v>
      </c>
      <c r="B6679" s="467" t="str">
        <f>Obra</f>
        <v>OBRA BÁSICA Y PAVIMENTACIÓN CALLE GÜEMES</v>
      </c>
      <c r="C6679" s="471"/>
      <c r="D6679" s="471"/>
      <c r="E6679" s="471"/>
      <c r="F6679" s="467" t="s">
        <v>32</v>
      </c>
      <c r="G6679" s="518">
        <f>Fecha_Base</f>
        <v>0</v>
      </c>
    </row>
    <row r="6680" spans="1:7" ht="19.899999999999999" customHeight="1" x14ac:dyDescent="0.2">
      <c r="A6680" s="519" t="s">
        <v>710</v>
      </c>
      <c r="B6680" s="472" t="str">
        <f>Ubicación</f>
        <v>Rawson - Santa Lucia</v>
      </c>
      <c r="C6680" s="472"/>
      <c r="D6680" s="473"/>
      <c r="E6680" s="474"/>
      <c r="F6680" s="475"/>
      <c r="G6680" s="520"/>
    </row>
    <row r="6681" spans="1:7" ht="19.899999999999999" customHeight="1" x14ac:dyDescent="0.2">
      <c r="A6681" s="519" t="s">
        <v>33</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22</v>
      </c>
      <c r="B6682" s="477" t="str">
        <f>IFERROR(VLOOKUP(COUNTIF($A$1:A6682,"ANALISIS DE PRECIOS"),T_NumeroItem,2,FALSE),"")</f>
        <v/>
      </c>
      <c r="C6682" s="719">
        <f ca="1">IFERROR(VLOOKUP(B6682,T_Computo_Presupuesto,2,FALSE),0)</f>
        <v>0</v>
      </c>
      <c r="D6682" s="719"/>
      <c r="E6682" s="719"/>
      <c r="F6682" s="472" t="s">
        <v>23</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999</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1000</v>
      </c>
      <c r="D6686" s="482" t="s">
        <v>24</v>
      </c>
      <c r="E6686" s="482" t="s">
        <v>1001</v>
      </c>
      <c r="F6686" s="482" t="s">
        <v>1002</v>
      </c>
      <c r="G6686" s="481" t="s">
        <v>1003</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1004</v>
      </c>
      <c r="D6698" s="472" t="s">
        <v>1001</v>
      </c>
      <c r="E6698" s="538">
        <f>SUMPRODUCT(D6687:D6696,E6687:E6696)</f>
        <v>0</v>
      </c>
      <c r="F6698" s="472" t="s">
        <v>1005</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1006</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06" t="s">
        <v>576</v>
      </c>
      <c r="B6702" s="707"/>
      <c r="C6702" s="708" t="s">
        <v>0</v>
      </c>
      <c r="D6702" s="720" t="s">
        <v>1866</v>
      </c>
      <c r="E6702" s="720" t="s">
        <v>1865</v>
      </c>
      <c r="F6702" s="712" t="s">
        <v>1007</v>
      </c>
      <c r="G6702" s="714" t="s">
        <v>26</v>
      </c>
    </row>
    <row r="6703" spans="1:7" ht="19.899999999999999" customHeight="1" x14ac:dyDescent="0.2">
      <c r="A6703" s="491" t="s">
        <v>577</v>
      </c>
      <c r="B6703" s="491" t="s">
        <v>578</v>
      </c>
      <c r="C6703" s="709"/>
      <c r="D6703" s="721"/>
      <c r="E6703" s="711"/>
      <c r="F6703" s="713"/>
      <c r="G6703" s="715"/>
    </row>
    <row r="6704" spans="1:7" ht="19.899999999999999" customHeight="1" x14ac:dyDescent="0.2">
      <c r="A6704" s="527"/>
      <c r="B6704" s="175"/>
      <c r="C6704" s="469" t="s">
        <v>1008</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27</v>
      </c>
      <c r="G6714" s="531">
        <f>SUBTOTAL(9,G6705:G6713)</f>
        <v>0</v>
      </c>
    </row>
    <row r="6715" spans="1:7" ht="19.899999999999999" customHeight="1" x14ac:dyDescent="0.2">
      <c r="A6715" s="527"/>
      <c r="B6715" s="175"/>
      <c r="C6715" s="469" t="s">
        <v>713</v>
      </c>
      <c r="D6715" s="473"/>
      <c r="E6715" s="474"/>
      <c r="F6715" s="475"/>
      <c r="G6715" s="528"/>
    </row>
    <row r="6716" spans="1:7" ht="19.899999999999999" customHeight="1" x14ac:dyDescent="0.2">
      <c r="A6716" s="706" t="s">
        <v>576</v>
      </c>
      <c r="B6716" s="707"/>
      <c r="C6716" s="708" t="s">
        <v>0</v>
      </c>
      <c r="D6716" s="710" t="s">
        <v>24</v>
      </c>
      <c r="E6716" s="710" t="s">
        <v>1832</v>
      </c>
      <c r="F6716" s="712" t="s">
        <v>1007</v>
      </c>
      <c r="G6716" s="714" t="s">
        <v>26</v>
      </c>
    </row>
    <row r="6717" spans="1:7" ht="19.899999999999999" customHeight="1" x14ac:dyDescent="0.2">
      <c r="A6717" s="491" t="s">
        <v>577</v>
      </c>
      <c r="B6717" s="491" t="s">
        <v>578</v>
      </c>
      <c r="C6717" s="709"/>
      <c r="D6717" s="711"/>
      <c r="E6717" s="711"/>
      <c r="F6717" s="713"/>
      <c r="G6717" s="715"/>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28</v>
      </c>
      <c r="G6725" s="532">
        <f>SUBTOTAL(9,G6718:G6724)</f>
        <v>0</v>
      </c>
    </row>
    <row r="6726" spans="1:7" ht="19.899999999999999" customHeight="1" x14ac:dyDescent="0.2">
      <c r="A6726" s="527"/>
      <c r="B6726" s="175"/>
      <c r="C6726" s="469" t="s">
        <v>1014</v>
      </c>
      <c r="D6726" s="473"/>
      <c r="E6726" s="474"/>
      <c r="F6726" s="475"/>
      <c r="G6726" s="528"/>
    </row>
    <row r="6727" spans="1:7" ht="19.899999999999999" customHeight="1" x14ac:dyDescent="0.2">
      <c r="A6727" s="706" t="s">
        <v>576</v>
      </c>
      <c r="B6727" s="707"/>
      <c r="C6727" s="708" t="s">
        <v>0</v>
      </c>
      <c r="D6727" s="708" t="s">
        <v>1867</v>
      </c>
      <c r="E6727" s="710" t="s">
        <v>24</v>
      </c>
      <c r="F6727" s="712" t="s">
        <v>25</v>
      </c>
      <c r="G6727" s="714" t="s">
        <v>26</v>
      </c>
    </row>
    <row r="6728" spans="1:7" ht="19.899999999999999" customHeight="1" x14ac:dyDescent="0.2">
      <c r="A6728" s="491" t="s">
        <v>577</v>
      </c>
      <c r="B6728" s="491" t="s">
        <v>578</v>
      </c>
      <c r="C6728" s="709"/>
      <c r="D6728" s="709"/>
      <c r="E6728" s="711"/>
      <c r="F6728" s="713"/>
      <c r="G6728" s="715"/>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29</v>
      </c>
      <c r="G6740" s="532">
        <f>SUBTOTAL(9,G6729:G6739)</f>
        <v>0</v>
      </c>
    </row>
    <row r="6741" spans="1:7" ht="19.899999999999999" customHeight="1" x14ac:dyDescent="0.2">
      <c r="A6741" s="527"/>
      <c r="B6741" s="175"/>
      <c r="C6741" s="469" t="s">
        <v>1015</v>
      </c>
      <c r="D6741" s="473"/>
      <c r="E6741" s="474"/>
      <c r="F6741" s="475"/>
      <c r="G6741" s="528"/>
    </row>
    <row r="6742" spans="1:7" ht="19.899999999999999" customHeight="1" x14ac:dyDescent="0.2">
      <c r="A6742" s="706" t="s">
        <v>576</v>
      </c>
      <c r="B6742" s="707"/>
      <c r="C6742" s="708" t="s">
        <v>0</v>
      </c>
      <c r="D6742" s="708" t="s">
        <v>1867</v>
      </c>
      <c r="E6742" s="710" t="s">
        <v>24</v>
      </c>
      <c r="F6742" s="712" t="s">
        <v>25</v>
      </c>
      <c r="G6742" s="714" t="s">
        <v>26</v>
      </c>
    </row>
    <row r="6743" spans="1:7" ht="19.899999999999999" customHeight="1" x14ac:dyDescent="0.2">
      <c r="A6743" s="491" t="s">
        <v>577</v>
      </c>
      <c r="B6743" s="491" t="s">
        <v>578</v>
      </c>
      <c r="C6743" s="709"/>
      <c r="D6743" s="709"/>
      <c r="E6743" s="711"/>
      <c r="F6743" s="713"/>
      <c r="G6743" s="715"/>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1016</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1833</v>
      </c>
      <c r="E6748" s="586"/>
      <c r="F6748" s="587" t="str">
        <f ca="1">"$/"&amp;G6682</f>
        <v>$/0</v>
      </c>
      <c r="G6748" s="537">
        <f>SUBTOTAL(9,G6705:G6747)</f>
        <v>0</v>
      </c>
    </row>
    <row r="6749" spans="1:7" ht="19.899999999999999" customHeight="1" x14ac:dyDescent="0.2">
      <c r="A6749" s="533"/>
      <c r="B6749" s="534"/>
      <c r="C6749" s="535"/>
      <c r="D6749" s="535" t="s">
        <v>2043</v>
      </c>
      <c r="E6749" s="536"/>
      <c r="F6749" s="589" t="str">
        <f ca="1">"$/"&amp;G6682</f>
        <v>$/0</v>
      </c>
      <c r="G6749" s="537">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16" t="s">
        <v>31</v>
      </c>
      <c r="B6751" s="717"/>
      <c r="C6751" s="717"/>
      <c r="D6751" s="717"/>
      <c r="E6751" s="717"/>
      <c r="F6751" s="717"/>
      <c r="G6751" s="718"/>
    </row>
    <row r="6752" spans="1:7" ht="19.899999999999999" customHeight="1" x14ac:dyDescent="0.2">
      <c r="A6752" s="516" t="s">
        <v>711</v>
      </c>
      <c r="B6752" s="467" t="str">
        <f>Comitente</f>
        <v>DIRECCIÓN PROVINCIAL DE VIALIDAD</v>
      </c>
      <c r="C6752" s="468"/>
      <c r="D6752" s="469"/>
      <c r="E6752" s="469"/>
      <c r="F6752" s="470"/>
      <c r="G6752" s="517"/>
    </row>
    <row r="6753" spans="1:7" ht="19.899999999999999" customHeight="1" x14ac:dyDescent="0.2">
      <c r="A6753" s="516" t="s">
        <v>712</v>
      </c>
      <c r="B6753" s="467">
        <f>Contratista</f>
        <v>0</v>
      </c>
      <c r="C6753" s="471"/>
      <c r="D6753" s="471"/>
      <c r="E6753" s="471"/>
      <c r="F6753" s="467"/>
      <c r="G6753" s="518"/>
    </row>
    <row r="6754" spans="1:7" ht="19.899999999999999" customHeight="1" x14ac:dyDescent="0.2">
      <c r="A6754" s="516" t="s">
        <v>21</v>
      </c>
      <c r="B6754" s="467" t="str">
        <f>Obra</f>
        <v>OBRA BÁSICA Y PAVIMENTACIÓN CALLE GÜEMES</v>
      </c>
      <c r="C6754" s="471"/>
      <c r="D6754" s="471"/>
      <c r="E6754" s="471"/>
      <c r="F6754" s="467" t="s">
        <v>32</v>
      </c>
      <c r="G6754" s="518">
        <f>Fecha_Base</f>
        <v>0</v>
      </c>
    </row>
    <row r="6755" spans="1:7" ht="19.899999999999999" customHeight="1" x14ac:dyDescent="0.2">
      <c r="A6755" s="519" t="s">
        <v>710</v>
      </c>
      <c r="B6755" s="472" t="str">
        <f>Ubicación</f>
        <v>Rawson - Santa Lucia</v>
      </c>
      <c r="C6755" s="472"/>
      <c r="D6755" s="473"/>
      <c r="E6755" s="474"/>
      <c r="F6755" s="475"/>
      <c r="G6755" s="520"/>
    </row>
    <row r="6756" spans="1:7" ht="19.899999999999999" customHeight="1" x14ac:dyDescent="0.2">
      <c r="A6756" s="519" t="s">
        <v>33</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22</v>
      </c>
      <c r="B6757" s="477" t="str">
        <f>IFERROR(VLOOKUP(COUNTIF($A$1:A6757,"ANALISIS DE PRECIOS"),T_NumeroItem,2,FALSE),"")</f>
        <v/>
      </c>
      <c r="C6757" s="719">
        <f ca="1">IFERROR(VLOOKUP(B6757,T_Computo_Presupuesto,2,FALSE),0)</f>
        <v>0</v>
      </c>
      <c r="D6757" s="719"/>
      <c r="E6757" s="719"/>
      <c r="F6757" s="472" t="s">
        <v>23</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999</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1000</v>
      </c>
      <c r="D6761" s="482" t="s">
        <v>24</v>
      </c>
      <c r="E6761" s="482" t="s">
        <v>1001</v>
      </c>
      <c r="F6761" s="482" t="s">
        <v>1002</v>
      </c>
      <c r="G6761" s="481" t="s">
        <v>1003</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1004</v>
      </c>
      <c r="D6773" s="472" t="s">
        <v>1001</v>
      </c>
      <c r="E6773" s="538">
        <f>SUMPRODUCT(D6762:D6771,E6762:E6771)</f>
        <v>0</v>
      </c>
      <c r="F6773" s="472" t="s">
        <v>1005</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1006</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06" t="s">
        <v>576</v>
      </c>
      <c r="B6777" s="707"/>
      <c r="C6777" s="708" t="s">
        <v>0</v>
      </c>
      <c r="D6777" s="720" t="s">
        <v>1866</v>
      </c>
      <c r="E6777" s="720" t="s">
        <v>1865</v>
      </c>
      <c r="F6777" s="712" t="s">
        <v>1007</v>
      </c>
      <c r="G6777" s="714" t="s">
        <v>26</v>
      </c>
    </row>
    <row r="6778" spans="1:7" ht="19.899999999999999" customHeight="1" x14ac:dyDescent="0.2">
      <c r="A6778" s="491" t="s">
        <v>577</v>
      </c>
      <c r="B6778" s="491" t="s">
        <v>578</v>
      </c>
      <c r="C6778" s="709"/>
      <c r="D6778" s="721"/>
      <c r="E6778" s="711"/>
      <c r="F6778" s="713"/>
      <c r="G6778" s="715"/>
    </row>
    <row r="6779" spans="1:7" ht="19.899999999999999" customHeight="1" x14ac:dyDescent="0.2">
      <c r="A6779" s="527"/>
      <c r="B6779" s="175"/>
      <c r="C6779" s="469" t="s">
        <v>1008</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27</v>
      </c>
      <c r="G6789" s="531">
        <f>SUBTOTAL(9,G6780:G6788)</f>
        <v>0</v>
      </c>
    </row>
    <row r="6790" spans="1:7" ht="19.899999999999999" customHeight="1" x14ac:dyDescent="0.2">
      <c r="A6790" s="527"/>
      <c r="B6790" s="175"/>
      <c r="C6790" s="469" t="s">
        <v>713</v>
      </c>
      <c r="D6790" s="473"/>
      <c r="E6790" s="474"/>
      <c r="F6790" s="475"/>
      <c r="G6790" s="528"/>
    </row>
    <row r="6791" spans="1:7" ht="19.899999999999999" customHeight="1" x14ac:dyDescent="0.2">
      <c r="A6791" s="706" t="s">
        <v>576</v>
      </c>
      <c r="B6791" s="707"/>
      <c r="C6791" s="708" t="s">
        <v>0</v>
      </c>
      <c r="D6791" s="710" t="s">
        <v>24</v>
      </c>
      <c r="E6791" s="710" t="s">
        <v>1832</v>
      </c>
      <c r="F6791" s="712" t="s">
        <v>1007</v>
      </c>
      <c r="G6791" s="714" t="s">
        <v>26</v>
      </c>
    </row>
    <row r="6792" spans="1:7" ht="19.899999999999999" customHeight="1" x14ac:dyDescent="0.2">
      <c r="A6792" s="491" t="s">
        <v>577</v>
      </c>
      <c r="B6792" s="491" t="s">
        <v>578</v>
      </c>
      <c r="C6792" s="709"/>
      <c r="D6792" s="711"/>
      <c r="E6792" s="711"/>
      <c r="F6792" s="713"/>
      <c r="G6792" s="715"/>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28</v>
      </c>
      <c r="G6800" s="532">
        <f>SUBTOTAL(9,G6793:G6799)</f>
        <v>0</v>
      </c>
    </row>
    <row r="6801" spans="1:7" ht="19.899999999999999" customHeight="1" x14ac:dyDescent="0.2">
      <c r="A6801" s="527"/>
      <c r="B6801" s="175"/>
      <c r="C6801" s="469" t="s">
        <v>1014</v>
      </c>
      <c r="D6801" s="473"/>
      <c r="E6801" s="474"/>
      <c r="F6801" s="475"/>
      <c r="G6801" s="528"/>
    </row>
    <row r="6802" spans="1:7" ht="19.899999999999999" customHeight="1" x14ac:dyDescent="0.2">
      <c r="A6802" s="706" t="s">
        <v>576</v>
      </c>
      <c r="B6802" s="707"/>
      <c r="C6802" s="708" t="s">
        <v>0</v>
      </c>
      <c r="D6802" s="708" t="s">
        <v>1867</v>
      </c>
      <c r="E6802" s="710" t="s">
        <v>24</v>
      </c>
      <c r="F6802" s="712" t="s">
        <v>25</v>
      </c>
      <c r="G6802" s="714" t="s">
        <v>26</v>
      </c>
    </row>
    <row r="6803" spans="1:7" ht="19.899999999999999" customHeight="1" x14ac:dyDescent="0.2">
      <c r="A6803" s="491" t="s">
        <v>577</v>
      </c>
      <c r="B6803" s="491" t="s">
        <v>578</v>
      </c>
      <c r="C6803" s="709"/>
      <c r="D6803" s="709"/>
      <c r="E6803" s="711"/>
      <c r="F6803" s="713"/>
      <c r="G6803" s="715"/>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29</v>
      </c>
      <c r="G6815" s="532">
        <f>SUBTOTAL(9,G6804:G6814)</f>
        <v>0</v>
      </c>
    </row>
    <row r="6816" spans="1:7" ht="19.899999999999999" customHeight="1" x14ac:dyDescent="0.2">
      <c r="A6816" s="527"/>
      <c r="B6816" s="175"/>
      <c r="C6816" s="469" t="s">
        <v>1015</v>
      </c>
      <c r="D6816" s="473"/>
      <c r="E6816" s="474"/>
      <c r="F6816" s="475"/>
      <c r="G6816" s="528"/>
    </row>
    <row r="6817" spans="1:7" ht="19.899999999999999" customHeight="1" x14ac:dyDescent="0.2">
      <c r="A6817" s="706" t="s">
        <v>576</v>
      </c>
      <c r="B6817" s="707"/>
      <c r="C6817" s="708" t="s">
        <v>0</v>
      </c>
      <c r="D6817" s="708" t="s">
        <v>1867</v>
      </c>
      <c r="E6817" s="710" t="s">
        <v>24</v>
      </c>
      <c r="F6817" s="712" t="s">
        <v>25</v>
      </c>
      <c r="G6817" s="714" t="s">
        <v>26</v>
      </c>
    </row>
    <row r="6818" spans="1:7" ht="19.899999999999999" customHeight="1" x14ac:dyDescent="0.2">
      <c r="A6818" s="491" t="s">
        <v>577</v>
      </c>
      <c r="B6818" s="491" t="s">
        <v>578</v>
      </c>
      <c r="C6818" s="709"/>
      <c r="D6818" s="709"/>
      <c r="E6818" s="711"/>
      <c r="F6818" s="713"/>
      <c r="G6818" s="715"/>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1016</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1833</v>
      </c>
      <c r="E6823" s="586"/>
      <c r="F6823" s="587" t="str">
        <f ca="1">"$/"&amp;G6757</f>
        <v>$/0</v>
      </c>
      <c r="G6823" s="537">
        <f>SUBTOTAL(9,G6780:G6822)</f>
        <v>0</v>
      </c>
    </row>
    <row r="6824" spans="1:7" ht="19.899999999999999" customHeight="1" x14ac:dyDescent="0.2">
      <c r="A6824" s="533"/>
      <c r="B6824" s="534"/>
      <c r="C6824" s="535"/>
      <c r="D6824" s="535" t="s">
        <v>2043</v>
      </c>
      <c r="E6824" s="536"/>
      <c r="F6824" s="589" t="str">
        <f ca="1">"$/"&amp;G6757</f>
        <v>$/0</v>
      </c>
      <c r="G6824" s="537">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16" t="s">
        <v>31</v>
      </c>
      <c r="B6826" s="717"/>
      <c r="C6826" s="717"/>
      <c r="D6826" s="717"/>
      <c r="E6826" s="717"/>
      <c r="F6826" s="717"/>
      <c r="G6826" s="718"/>
    </row>
    <row r="6827" spans="1:7" ht="19.899999999999999" customHeight="1" x14ac:dyDescent="0.2">
      <c r="A6827" s="516" t="s">
        <v>711</v>
      </c>
      <c r="B6827" s="467" t="str">
        <f>Comitente</f>
        <v>DIRECCIÓN PROVINCIAL DE VIALIDAD</v>
      </c>
      <c r="C6827" s="468"/>
      <c r="D6827" s="469"/>
      <c r="E6827" s="469"/>
      <c r="F6827" s="470"/>
      <c r="G6827" s="517"/>
    </row>
    <row r="6828" spans="1:7" ht="19.899999999999999" customHeight="1" x14ac:dyDescent="0.2">
      <c r="A6828" s="516" t="s">
        <v>712</v>
      </c>
      <c r="B6828" s="467">
        <f>Contratista</f>
        <v>0</v>
      </c>
      <c r="C6828" s="471"/>
      <c r="D6828" s="471"/>
      <c r="E6828" s="471"/>
      <c r="F6828" s="467"/>
      <c r="G6828" s="518"/>
    </row>
    <row r="6829" spans="1:7" ht="19.899999999999999" customHeight="1" x14ac:dyDescent="0.2">
      <c r="A6829" s="516" t="s">
        <v>21</v>
      </c>
      <c r="B6829" s="467" t="str">
        <f>Obra</f>
        <v>OBRA BÁSICA Y PAVIMENTACIÓN CALLE GÜEMES</v>
      </c>
      <c r="C6829" s="471"/>
      <c r="D6829" s="471"/>
      <c r="E6829" s="471"/>
      <c r="F6829" s="467" t="s">
        <v>32</v>
      </c>
      <c r="G6829" s="518">
        <f>Fecha_Base</f>
        <v>0</v>
      </c>
    </row>
    <row r="6830" spans="1:7" ht="19.899999999999999" customHeight="1" x14ac:dyDescent="0.2">
      <c r="A6830" s="519" t="s">
        <v>710</v>
      </c>
      <c r="B6830" s="472" t="str">
        <f>Ubicación</f>
        <v>Rawson - Santa Lucia</v>
      </c>
      <c r="C6830" s="472"/>
      <c r="D6830" s="473"/>
      <c r="E6830" s="474"/>
      <c r="F6830" s="475"/>
      <c r="G6830" s="520"/>
    </row>
    <row r="6831" spans="1:7" ht="19.899999999999999" customHeight="1" x14ac:dyDescent="0.2">
      <c r="A6831" s="519" t="s">
        <v>33</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22</v>
      </c>
      <c r="B6832" s="477" t="str">
        <f>IFERROR(VLOOKUP(COUNTIF($A$1:A6832,"ANALISIS DE PRECIOS"),T_NumeroItem,2,FALSE),"")</f>
        <v/>
      </c>
      <c r="C6832" s="719">
        <f ca="1">IFERROR(VLOOKUP(B6832,T_Computo_Presupuesto,2,FALSE),0)</f>
        <v>0</v>
      </c>
      <c r="D6832" s="719"/>
      <c r="E6832" s="719"/>
      <c r="F6832" s="472" t="s">
        <v>23</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999</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1000</v>
      </c>
      <c r="D6836" s="482" t="s">
        <v>24</v>
      </c>
      <c r="E6836" s="482" t="s">
        <v>1001</v>
      </c>
      <c r="F6836" s="482" t="s">
        <v>1002</v>
      </c>
      <c r="G6836" s="481" t="s">
        <v>1003</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1004</v>
      </c>
      <c r="D6848" s="472" t="s">
        <v>1001</v>
      </c>
      <c r="E6848" s="538">
        <f>SUMPRODUCT(D6837:D6846,E6837:E6846)</f>
        <v>0</v>
      </c>
      <c r="F6848" s="472" t="s">
        <v>1005</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1006</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06" t="s">
        <v>576</v>
      </c>
      <c r="B6852" s="707"/>
      <c r="C6852" s="708" t="s">
        <v>0</v>
      </c>
      <c r="D6852" s="720" t="s">
        <v>1866</v>
      </c>
      <c r="E6852" s="720" t="s">
        <v>1865</v>
      </c>
      <c r="F6852" s="712" t="s">
        <v>1007</v>
      </c>
      <c r="G6852" s="714" t="s">
        <v>26</v>
      </c>
    </row>
    <row r="6853" spans="1:7" ht="19.899999999999999" customHeight="1" x14ac:dyDescent="0.2">
      <c r="A6853" s="491" t="s">
        <v>577</v>
      </c>
      <c r="B6853" s="491" t="s">
        <v>578</v>
      </c>
      <c r="C6853" s="709"/>
      <c r="D6853" s="721"/>
      <c r="E6853" s="711"/>
      <c r="F6853" s="713"/>
      <c r="G6853" s="715"/>
    </row>
    <row r="6854" spans="1:7" ht="19.899999999999999" customHeight="1" x14ac:dyDescent="0.2">
      <c r="A6854" s="527"/>
      <c r="B6854" s="175"/>
      <c r="C6854" s="469" t="s">
        <v>1008</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27</v>
      </c>
      <c r="G6864" s="531">
        <f>SUBTOTAL(9,G6855:G6863)</f>
        <v>0</v>
      </c>
    </row>
    <row r="6865" spans="1:7" ht="19.899999999999999" customHeight="1" x14ac:dyDescent="0.2">
      <c r="A6865" s="527"/>
      <c r="B6865" s="175"/>
      <c r="C6865" s="469" t="s">
        <v>713</v>
      </c>
      <c r="D6865" s="473"/>
      <c r="E6865" s="474"/>
      <c r="F6865" s="475"/>
      <c r="G6865" s="528"/>
    </row>
    <row r="6866" spans="1:7" ht="19.899999999999999" customHeight="1" x14ac:dyDescent="0.2">
      <c r="A6866" s="706" t="s">
        <v>576</v>
      </c>
      <c r="B6866" s="707"/>
      <c r="C6866" s="708" t="s">
        <v>0</v>
      </c>
      <c r="D6866" s="710" t="s">
        <v>24</v>
      </c>
      <c r="E6866" s="710" t="s">
        <v>1832</v>
      </c>
      <c r="F6866" s="712" t="s">
        <v>1007</v>
      </c>
      <c r="G6866" s="714" t="s">
        <v>26</v>
      </c>
    </row>
    <row r="6867" spans="1:7" ht="19.899999999999999" customHeight="1" x14ac:dyDescent="0.2">
      <c r="A6867" s="491" t="s">
        <v>577</v>
      </c>
      <c r="B6867" s="491" t="s">
        <v>578</v>
      </c>
      <c r="C6867" s="709"/>
      <c r="D6867" s="711"/>
      <c r="E6867" s="711"/>
      <c r="F6867" s="713"/>
      <c r="G6867" s="715"/>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28</v>
      </c>
      <c r="G6875" s="532">
        <f>SUBTOTAL(9,G6868:G6874)</f>
        <v>0</v>
      </c>
    </row>
    <row r="6876" spans="1:7" ht="19.899999999999999" customHeight="1" x14ac:dyDescent="0.2">
      <c r="A6876" s="527"/>
      <c r="B6876" s="175"/>
      <c r="C6876" s="469" t="s">
        <v>1014</v>
      </c>
      <c r="D6876" s="473"/>
      <c r="E6876" s="474"/>
      <c r="F6876" s="475"/>
      <c r="G6876" s="528"/>
    </row>
    <row r="6877" spans="1:7" ht="19.899999999999999" customHeight="1" x14ac:dyDescent="0.2">
      <c r="A6877" s="706" t="s">
        <v>576</v>
      </c>
      <c r="B6877" s="707"/>
      <c r="C6877" s="708" t="s">
        <v>0</v>
      </c>
      <c r="D6877" s="708" t="s">
        <v>1867</v>
      </c>
      <c r="E6877" s="710" t="s">
        <v>24</v>
      </c>
      <c r="F6877" s="712" t="s">
        <v>25</v>
      </c>
      <c r="G6877" s="714" t="s">
        <v>26</v>
      </c>
    </row>
    <row r="6878" spans="1:7" ht="19.899999999999999" customHeight="1" x14ac:dyDescent="0.2">
      <c r="A6878" s="491" t="s">
        <v>577</v>
      </c>
      <c r="B6878" s="491" t="s">
        <v>578</v>
      </c>
      <c r="C6878" s="709"/>
      <c r="D6878" s="709"/>
      <c r="E6878" s="711"/>
      <c r="F6878" s="713"/>
      <c r="G6878" s="715"/>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29</v>
      </c>
      <c r="G6890" s="532">
        <f>SUBTOTAL(9,G6879:G6889)</f>
        <v>0</v>
      </c>
    </row>
    <row r="6891" spans="1:7" ht="19.899999999999999" customHeight="1" x14ac:dyDescent="0.2">
      <c r="A6891" s="527"/>
      <c r="B6891" s="175"/>
      <c r="C6891" s="469" t="s">
        <v>1015</v>
      </c>
      <c r="D6891" s="473"/>
      <c r="E6891" s="474"/>
      <c r="F6891" s="475"/>
      <c r="G6891" s="528"/>
    </row>
    <row r="6892" spans="1:7" ht="19.899999999999999" customHeight="1" x14ac:dyDescent="0.2">
      <c r="A6892" s="706" t="s">
        <v>576</v>
      </c>
      <c r="B6892" s="707"/>
      <c r="C6892" s="708" t="s">
        <v>0</v>
      </c>
      <c r="D6892" s="708" t="s">
        <v>1867</v>
      </c>
      <c r="E6892" s="710" t="s">
        <v>24</v>
      </c>
      <c r="F6892" s="712" t="s">
        <v>25</v>
      </c>
      <c r="G6892" s="714" t="s">
        <v>26</v>
      </c>
    </row>
    <row r="6893" spans="1:7" ht="19.899999999999999" customHeight="1" x14ac:dyDescent="0.2">
      <c r="A6893" s="491" t="s">
        <v>577</v>
      </c>
      <c r="B6893" s="491" t="s">
        <v>578</v>
      </c>
      <c r="C6893" s="709"/>
      <c r="D6893" s="709"/>
      <c r="E6893" s="711"/>
      <c r="F6893" s="713"/>
      <c r="G6893" s="715"/>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1016</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1833</v>
      </c>
      <c r="E6898" s="586"/>
      <c r="F6898" s="587" t="str">
        <f ca="1">"$/"&amp;G6832</f>
        <v>$/0</v>
      </c>
      <c r="G6898" s="537">
        <f>SUBTOTAL(9,G6855:G6897)</f>
        <v>0</v>
      </c>
    </row>
    <row r="6899" spans="1:7" ht="19.899999999999999" customHeight="1" x14ac:dyDescent="0.2">
      <c r="A6899" s="533"/>
      <c r="B6899" s="534"/>
      <c r="C6899" s="535"/>
      <c r="D6899" s="535" t="s">
        <v>2043</v>
      </c>
      <c r="E6899" s="536"/>
      <c r="F6899" s="589" t="str">
        <f ca="1">"$/"&amp;G6832</f>
        <v>$/0</v>
      </c>
      <c r="G6899" s="537">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16" t="s">
        <v>31</v>
      </c>
      <c r="B6901" s="717"/>
      <c r="C6901" s="717"/>
      <c r="D6901" s="717"/>
      <c r="E6901" s="717"/>
      <c r="F6901" s="717"/>
      <c r="G6901" s="718"/>
    </row>
    <row r="6902" spans="1:7" ht="19.899999999999999" customHeight="1" x14ac:dyDescent="0.2">
      <c r="A6902" s="516" t="s">
        <v>711</v>
      </c>
      <c r="B6902" s="467" t="str">
        <f>Comitente</f>
        <v>DIRECCIÓN PROVINCIAL DE VIALIDAD</v>
      </c>
      <c r="C6902" s="468"/>
      <c r="D6902" s="469"/>
      <c r="E6902" s="469"/>
      <c r="F6902" s="470"/>
      <c r="G6902" s="517"/>
    </row>
    <row r="6903" spans="1:7" ht="19.899999999999999" customHeight="1" x14ac:dyDescent="0.2">
      <c r="A6903" s="516" t="s">
        <v>712</v>
      </c>
      <c r="B6903" s="467">
        <f>Contratista</f>
        <v>0</v>
      </c>
      <c r="C6903" s="471"/>
      <c r="D6903" s="471"/>
      <c r="E6903" s="471"/>
      <c r="F6903" s="467"/>
      <c r="G6903" s="518"/>
    </row>
    <row r="6904" spans="1:7" ht="19.899999999999999" customHeight="1" x14ac:dyDescent="0.2">
      <c r="A6904" s="516" t="s">
        <v>21</v>
      </c>
      <c r="B6904" s="467" t="str">
        <f>Obra</f>
        <v>OBRA BÁSICA Y PAVIMENTACIÓN CALLE GÜEMES</v>
      </c>
      <c r="C6904" s="471"/>
      <c r="D6904" s="471"/>
      <c r="E6904" s="471"/>
      <c r="F6904" s="467" t="s">
        <v>32</v>
      </c>
      <c r="G6904" s="518">
        <f>Fecha_Base</f>
        <v>0</v>
      </c>
    </row>
    <row r="6905" spans="1:7" ht="19.899999999999999" customHeight="1" x14ac:dyDescent="0.2">
      <c r="A6905" s="519" t="s">
        <v>710</v>
      </c>
      <c r="B6905" s="472" t="str">
        <f>Ubicación</f>
        <v>Rawson - Santa Lucia</v>
      </c>
      <c r="C6905" s="472"/>
      <c r="D6905" s="473"/>
      <c r="E6905" s="474"/>
      <c r="F6905" s="475"/>
      <c r="G6905" s="520"/>
    </row>
    <row r="6906" spans="1:7" ht="19.899999999999999" customHeight="1" x14ac:dyDescent="0.2">
      <c r="A6906" s="519" t="s">
        <v>33</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22</v>
      </c>
      <c r="B6907" s="477" t="str">
        <f>IFERROR(VLOOKUP(COUNTIF($A$1:A6907,"ANALISIS DE PRECIOS"),T_NumeroItem,2,FALSE),"")</f>
        <v/>
      </c>
      <c r="C6907" s="719">
        <f ca="1">IFERROR(VLOOKUP(B6907,T_Computo_Presupuesto,2,FALSE),0)</f>
        <v>0</v>
      </c>
      <c r="D6907" s="719"/>
      <c r="E6907" s="719"/>
      <c r="F6907" s="472" t="s">
        <v>23</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999</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1000</v>
      </c>
      <c r="D6911" s="482" t="s">
        <v>24</v>
      </c>
      <c r="E6911" s="482" t="s">
        <v>1001</v>
      </c>
      <c r="F6911" s="482" t="s">
        <v>1002</v>
      </c>
      <c r="G6911" s="481" t="s">
        <v>1003</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1004</v>
      </c>
      <c r="D6923" s="472" t="s">
        <v>1001</v>
      </c>
      <c r="E6923" s="538">
        <f>SUMPRODUCT(D6912:D6921,E6912:E6921)</f>
        <v>0</v>
      </c>
      <c r="F6923" s="472" t="s">
        <v>1005</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1006</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06" t="s">
        <v>576</v>
      </c>
      <c r="B6927" s="707"/>
      <c r="C6927" s="708" t="s">
        <v>0</v>
      </c>
      <c r="D6927" s="720" t="s">
        <v>1866</v>
      </c>
      <c r="E6927" s="720" t="s">
        <v>1865</v>
      </c>
      <c r="F6927" s="712" t="s">
        <v>1007</v>
      </c>
      <c r="G6927" s="714" t="s">
        <v>26</v>
      </c>
    </row>
    <row r="6928" spans="1:7" ht="19.899999999999999" customHeight="1" x14ac:dyDescent="0.2">
      <c r="A6928" s="491" t="s">
        <v>577</v>
      </c>
      <c r="B6928" s="491" t="s">
        <v>578</v>
      </c>
      <c r="C6928" s="709"/>
      <c r="D6928" s="721"/>
      <c r="E6928" s="711"/>
      <c r="F6928" s="713"/>
      <c r="G6928" s="715"/>
    </row>
    <row r="6929" spans="1:7" ht="19.899999999999999" customHeight="1" x14ac:dyDescent="0.2">
      <c r="A6929" s="527"/>
      <c r="B6929" s="175"/>
      <c r="C6929" s="469" t="s">
        <v>1008</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27</v>
      </c>
      <c r="G6939" s="531">
        <f>SUBTOTAL(9,G6930:G6938)</f>
        <v>0</v>
      </c>
    </row>
    <row r="6940" spans="1:7" ht="19.899999999999999" customHeight="1" x14ac:dyDescent="0.2">
      <c r="A6940" s="527"/>
      <c r="B6940" s="175"/>
      <c r="C6940" s="469" t="s">
        <v>713</v>
      </c>
      <c r="D6940" s="473"/>
      <c r="E6940" s="474"/>
      <c r="F6940" s="475"/>
      <c r="G6940" s="528"/>
    </row>
    <row r="6941" spans="1:7" ht="19.899999999999999" customHeight="1" x14ac:dyDescent="0.2">
      <c r="A6941" s="706" t="s">
        <v>576</v>
      </c>
      <c r="B6941" s="707"/>
      <c r="C6941" s="708" t="s">
        <v>0</v>
      </c>
      <c r="D6941" s="710" t="s">
        <v>24</v>
      </c>
      <c r="E6941" s="710" t="s">
        <v>1832</v>
      </c>
      <c r="F6941" s="712" t="s">
        <v>1007</v>
      </c>
      <c r="G6941" s="714" t="s">
        <v>26</v>
      </c>
    </row>
    <row r="6942" spans="1:7" ht="19.899999999999999" customHeight="1" x14ac:dyDescent="0.2">
      <c r="A6942" s="491" t="s">
        <v>577</v>
      </c>
      <c r="B6942" s="491" t="s">
        <v>578</v>
      </c>
      <c r="C6942" s="709"/>
      <c r="D6942" s="711"/>
      <c r="E6942" s="711"/>
      <c r="F6942" s="713"/>
      <c r="G6942" s="715"/>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28</v>
      </c>
      <c r="G6950" s="532">
        <f>SUBTOTAL(9,G6943:G6949)</f>
        <v>0</v>
      </c>
    </row>
    <row r="6951" spans="1:7" ht="19.899999999999999" customHeight="1" x14ac:dyDescent="0.2">
      <c r="A6951" s="527"/>
      <c r="B6951" s="175"/>
      <c r="C6951" s="469" t="s">
        <v>1014</v>
      </c>
      <c r="D6951" s="473"/>
      <c r="E6951" s="474"/>
      <c r="F6951" s="475"/>
      <c r="G6951" s="528"/>
    </row>
    <row r="6952" spans="1:7" ht="19.899999999999999" customHeight="1" x14ac:dyDescent="0.2">
      <c r="A6952" s="706" t="s">
        <v>576</v>
      </c>
      <c r="B6952" s="707"/>
      <c r="C6952" s="708" t="s">
        <v>0</v>
      </c>
      <c r="D6952" s="708" t="s">
        <v>1867</v>
      </c>
      <c r="E6952" s="710" t="s">
        <v>24</v>
      </c>
      <c r="F6952" s="712" t="s">
        <v>25</v>
      </c>
      <c r="G6952" s="714" t="s">
        <v>26</v>
      </c>
    </row>
    <row r="6953" spans="1:7" ht="19.899999999999999" customHeight="1" x14ac:dyDescent="0.2">
      <c r="A6953" s="491" t="s">
        <v>577</v>
      </c>
      <c r="B6953" s="491" t="s">
        <v>578</v>
      </c>
      <c r="C6953" s="709"/>
      <c r="D6953" s="709"/>
      <c r="E6953" s="711"/>
      <c r="F6953" s="713"/>
      <c r="G6953" s="715"/>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29</v>
      </c>
      <c r="G6965" s="532">
        <f>SUBTOTAL(9,G6954:G6964)</f>
        <v>0</v>
      </c>
    </row>
    <row r="6966" spans="1:7" ht="19.899999999999999" customHeight="1" x14ac:dyDescent="0.2">
      <c r="A6966" s="527"/>
      <c r="B6966" s="175"/>
      <c r="C6966" s="469" t="s">
        <v>1015</v>
      </c>
      <c r="D6966" s="473"/>
      <c r="E6966" s="474"/>
      <c r="F6966" s="475"/>
      <c r="G6966" s="528"/>
    </row>
    <row r="6967" spans="1:7" ht="19.899999999999999" customHeight="1" x14ac:dyDescent="0.2">
      <c r="A6967" s="706" t="s">
        <v>576</v>
      </c>
      <c r="B6967" s="707"/>
      <c r="C6967" s="708" t="s">
        <v>0</v>
      </c>
      <c r="D6967" s="708" t="s">
        <v>1867</v>
      </c>
      <c r="E6967" s="710" t="s">
        <v>24</v>
      </c>
      <c r="F6967" s="712" t="s">
        <v>25</v>
      </c>
      <c r="G6967" s="714" t="s">
        <v>26</v>
      </c>
    </row>
    <row r="6968" spans="1:7" ht="19.899999999999999" customHeight="1" x14ac:dyDescent="0.2">
      <c r="A6968" s="491" t="s">
        <v>577</v>
      </c>
      <c r="B6968" s="491" t="s">
        <v>578</v>
      </c>
      <c r="C6968" s="709"/>
      <c r="D6968" s="709"/>
      <c r="E6968" s="711"/>
      <c r="F6968" s="713"/>
      <c r="G6968" s="715"/>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1016</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1833</v>
      </c>
      <c r="E6973" s="586"/>
      <c r="F6973" s="587" t="str">
        <f ca="1">"$/"&amp;G6907</f>
        <v>$/0</v>
      </c>
      <c r="G6973" s="537">
        <f>SUBTOTAL(9,G6930:G6972)</f>
        <v>0</v>
      </c>
    </row>
    <row r="6974" spans="1:7" ht="19.899999999999999" customHeight="1" x14ac:dyDescent="0.2">
      <c r="A6974" s="533"/>
      <c r="B6974" s="534"/>
      <c r="C6974" s="535"/>
      <c r="D6974" s="535" t="s">
        <v>2043</v>
      </c>
      <c r="E6974" s="536"/>
      <c r="F6974" s="589" t="str">
        <f ca="1">"$/"&amp;G6907</f>
        <v>$/0</v>
      </c>
      <c r="G6974" s="537">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16" t="s">
        <v>31</v>
      </c>
      <c r="B6976" s="717"/>
      <c r="C6976" s="717"/>
      <c r="D6976" s="717"/>
      <c r="E6976" s="717"/>
      <c r="F6976" s="717"/>
      <c r="G6976" s="718"/>
    </row>
    <row r="6977" spans="1:7" ht="19.899999999999999" customHeight="1" x14ac:dyDescent="0.2">
      <c r="A6977" s="516" t="s">
        <v>711</v>
      </c>
      <c r="B6977" s="467" t="str">
        <f>Comitente</f>
        <v>DIRECCIÓN PROVINCIAL DE VIALIDAD</v>
      </c>
      <c r="C6977" s="468"/>
      <c r="D6977" s="469"/>
      <c r="E6977" s="469"/>
      <c r="F6977" s="470"/>
      <c r="G6977" s="517"/>
    </row>
    <row r="6978" spans="1:7" ht="19.899999999999999" customHeight="1" x14ac:dyDescent="0.2">
      <c r="A6978" s="516" t="s">
        <v>712</v>
      </c>
      <c r="B6978" s="467">
        <f>Contratista</f>
        <v>0</v>
      </c>
      <c r="C6978" s="471"/>
      <c r="D6978" s="471"/>
      <c r="E6978" s="471"/>
      <c r="F6978" s="467"/>
      <c r="G6978" s="518"/>
    </row>
    <row r="6979" spans="1:7" ht="19.899999999999999" customHeight="1" x14ac:dyDescent="0.2">
      <c r="A6979" s="516" t="s">
        <v>21</v>
      </c>
      <c r="B6979" s="467" t="str">
        <f>Obra</f>
        <v>OBRA BÁSICA Y PAVIMENTACIÓN CALLE GÜEMES</v>
      </c>
      <c r="C6979" s="471"/>
      <c r="D6979" s="471"/>
      <c r="E6979" s="471"/>
      <c r="F6979" s="467" t="s">
        <v>32</v>
      </c>
      <c r="G6979" s="518">
        <f>Fecha_Base</f>
        <v>0</v>
      </c>
    </row>
    <row r="6980" spans="1:7" ht="19.899999999999999" customHeight="1" x14ac:dyDescent="0.2">
      <c r="A6980" s="519" t="s">
        <v>710</v>
      </c>
      <c r="B6980" s="472" t="str">
        <f>Ubicación</f>
        <v>Rawson - Santa Lucia</v>
      </c>
      <c r="C6980" s="472"/>
      <c r="D6980" s="473"/>
      <c r="E6980" s="474"/>
      <c r="F6980" s="475"/>
      <c r="G6980" s="520"/>
    </row>
    <row r="6981" spans="1:7" ht="19.899999999999999" customHeight="1" x14ac:dyDescent="0.2">
      <c r="A6981" s="519" t="s">
        <v>33</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22</v>
      </c>
      <c r="B6982" s="477" t="str">
        <f>IFERROR(VLOOKUP(COUNTIF($A$1:A6982,"ANALISIS DE PRECIOS"),T_NumeroItem,2,FALSE),"")</f>
        <v/>
      </c>
      <c r="C6982" s="719">
        <f ca="1">IFERROR(VLOOKUP(B6982,T_Computo_Presupuesto,2,FALSE),0)</f>
        <v>0</v>
      </c>
      <c r="D6982" s="719"/>
      <c r="E6982" s="719"/>
      <c r="F6982" s="472" t="s">
        <v>23</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999</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1000</v>
      </c>
      <c r="D6986" s="482" t="s">
        <v>24</v>
      </c>
      <c r="E6986" s="482" t="s">
        <v>1001</v>
      </c>
      <c r="F6986" s="482" t="s">
        <v>1002</v>
      </c>
      <c r="G6986" s="481" t="s">
        <v>1003</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1004</v>
      </c>
      <c r="D6998" s="472" t="s">
        <v>1001</v>
      </c>
      <c r="E6998" s="538">
        <f>SUMPRODUCT(D6987:D6996,E6987:E6996)</f>
        <v>0</v>
      </c>
      <c r="F6998" s="472" t="s">
        <v>1005</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1006</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06" t="s">
        <v>576</v>
      </c>
      <c r="B7002" s="707"/>
      <c r="C7002" s="708" t="s">
        <v>0</v>
      </c>
      <c r="D7002" s="720" t="s">
        <v>1866</v>
      </c>
      <c r="E7002" s="720" t="s">
        <v>1865</v>
      </c>
      <c r="F7002" s="712" t="s">
        <v>1007</v>
      </c>
      <c r="G7002" s="714" t="s">
        <v>26</v>
      </c>
    </row>
    <row r="7003" spans="1:7" ht="19.899999999999999" customHeight="1" x14ac:dyDescent="0.2">
      <c r="A7003" s="491" t="s">
        <v>577</v>
      </c>
      <c r="B7003" s="491" t="s">
        <v>578</v>
      </c>
      <c r="C7003" s="709"/>
      <c r="D7003" s="721"/>
      <c r="E7003" s="711"/>
      <c r="F7003" s="713"/>
      <c r="G7003" s="715"/>
    </row>
    <row r="7004" spans="1:7" ht="19.899999999999999" customHeight="1" x14ac:dyDescent="0.2">
      <c r="A7004" s="527"/>
      <c r="B7004" s="175"/>
      <c r="C7004" s="469" t="s">
        <v>1008</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27</v>
      </c>
      <c r="G7014" s="531">
        <f>SUBTOTAL(9,G7005:G7013)</f>
        <v>0</v>
      </c>
    </row>
    <row r="7015" spans="1:7" ht="19.899999999999999" customHeight="1" x14ac:dyDescent="0.2">
      <c r="A7015" s="527"/>
      <c r="B7015" s="175"/>
      <c r="C7015" s="469" t="s">
        <v>713</v>
      </c>
      <c r="D7015" s="473"/>
      <c r="E7015" s="474"/>
      <c r="F7015" s="475"/>
      <c r="G7015" s="528"/>
    </row>
    <row r="7016" spans="1:7" ht="19.899999999999999" customHeight="1" x14ac:dyDescent="0.2">
      <c r="A7016" s="706" t="s">
        <v>576</v>
      </c>
      <c r="B7016" s="707"/>
      <c r="C7016" s="708" t="s">
        <v>0</v>
      </c>
      <c r="D7016" s="710" t="s">
        <v>24</v>
      </c>
      <c r="E7016" s="710" t="s">
        <v>1832</v>
      </c>
      <c r="F7016" s="712" t="s">
        <v>1007</v>
      </c>
      <c r="G7016" s="714" t="s">
        <v>26</v>
      </c>
    </row>
    <row r="7017" spans="1:7" ht="19.899999999999999" customHeight="1" x14ac:dyDescent="0.2">
      <c r="A7017" s="491" t="s">
        <v>577</v>
      </c>
      <c r="B7017" s="491" t="s">
        <v>578</v>
      </c>
      <c r="C7017" s="709"/>
      <c r="D7017" s="711"/>
      <c r="E7017" s="711"/>
      <c r="F7017" s="713"/>
      <c r="G7017" s="715"/>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28</v>
      </c>
      <c r="G7025" s="532">
        <f>SUBTOTAL(9,G7018:G7024)</f>
        <v>0</v>
      </c>
    </row>
    <row r="7026" spans="1:7" ht="19.899999999999999" customHeight="1" x14ac:dyDescent="0.2">
      <c r="A7026" s="527"/>
      <c r="B7026" s="175"/>
      <c r="C7026" s="469" t="s">
        <v>1014</v>
      </c>
      <c r="D7026" s="473"/>
      <c r="E7026" s="474"/>
      <c r="F7026" s="475"/>
      <c r="G7026" s="528"/>
    </row>
    <row r="7027" spans="1:7" ht="19.899999999999999" customHeight="1" x14ac:dyDescent="0.2">
      <c r="A7027" s="706" t="s">
        <v>576</v>
      </c>
      <c r="B7027" s="707"/>
      <c r="C7027" s="708" t="s">
        <v>0</v>
      </c>
      <c r="D7027" s="708" t="s">
        <v>1867</v>
      </c>
      <c r="E7027" s="710" t="s">
        <v>24</v>
      </c>
      <c r="F7027" s="712" t="s">
        <v>25</v>
      </c>
      <c r="G7027" s="714" t="s">
        <v>26</v>
      </c>
    </row>
    <row r="7028" spans="1:7" ht="19.899999999999999" customHeight="1" x14ac:dyDescent="0.2">
      <c r="A7028" s="491" t="s">
        <v>577</v>
      </c>
      <c r="B7028" s="491" t="s">
        <v>578</v>
      </c>
      <c r="C7028" s="709"/>
      <c r="D7028" s="709"/>
      <c r="E7028" s="711"/>
      <c r="F7028" s="713"/>
      <c r="G7028" s="715"/>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29</v>
      </c>
      <c r="G7040" s="532">
        <f>SUBTOTAL(9,G7029:G7039)</f>
        <v>0</v>
      </c>
    </row>
    <row r="7041" spans="1:7" ht="19.899999999999999" customHeight="1" x14ac:dyDescent="0.2">
      <c r="A7041" s="527"/>
      <c r="B7041" s="175"/>
      <c r="C7041" s="469" t="s">
        <v>1015</v>
      </c>
      <c r="D7041" s="473"/>
      <c r="E7041" s="474"/>
      <c r="F7041" s="475"/>
      <c r="G7041" s="528"/>
    </row>
    <row r="7042" spans="1:7" ht="19.899999999999999" customHeight="1" x14ac:dyDescent="0.2">
      <c r="A7042" s="706" t="s">
        <v>576</v>
      </c>
      <c r="B7042" s="707"/>
      <c r="C7042" s="708" t="s">
        <v>0</v>
      </c>
      <c r="D7042" s="708" t="s">
        <v>1867</v>
      </c>
      <c r="E7042" s="710" t="s">
        <v>24</v>
      </c>
      <c r="F7042" s="712" t="s">
        <v>25</v>
      </c>
      <c r="G7042" s="714" t="s">
        <v>26</v>
      </c>
    </row>
    <row r="7043" spans="1:7" ht="19.899999999999999" customHeight="1" x14ac:dyDescent="0.2">
      <c r="A7043" s="491" t="s">
        <v>577</v>
      </c>
      <c r="B7043" s="491" t="s">
        <v>578</v>
      </c>
      <c r="C7043" s="709"/>
      <c r="D7043" s="709"/>
      <c r="E7043" s="711"/>
      <c r="F7043" s="713"/>
      <c r="G7043" s="715"/>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1016</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1833</v>
      </c>
      <c r="E7048" s="586"/>
      <c r="F7048" s="587" t="str">
        <f ca="1">"$/"&amp;G6982</f>
        <v>$/0</v>
      </c>
      <c r="G7048" s="537">
        <f>SUBTOTAL(9,G7005:G7047)</f>
        <v>0</v>
      </c>
    </row>
    <row r="7049" spans="1:7" ht="19.899999999999999" customHeight="1" x14ac:dyDescent="0.2">
      <c r="A7049" s="533"/>
      <c r="B7049" s="534"/>
      <c r="C7049" s="535"/>
      <c r="D7049" s="535" t="s">
        <v>2043</v>
      </c>
      <c r="E7049" s="536"/>
      <c r="F7049" s="589" t="str">
        <f ca="1">"$/"&amp;G6982</f>
        <v>$/0</v>
      </c>
      <c r="G7049" s="537">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16" t="s">
        <v>31</v>
      </c>
      <c r="B7051" s="717"/>
      <c r="C7051" s="717"/>
      <c r="D7051" s="717"/>
      <c r="E7051" s="717"/>
      <c r="F7051" s="717"/>
      <c r="G7051" s="718"/>
    </row>
    <row r="7052" spans="1:7" ht="19.899999999999999" customHeight="1" x14ac:dyDescent="0.2">
      <c r="A7052" s="516" t="s">
        <v>711</v>
      </c>
      <c r="B7052" s="467" t="str">
        <f>Comitente</f>
        <v>DIRECCIÓN PROVINCIAL DE VIALIDAD</v>
      </c>
      <c r="C7052" s="468"/>
      <c r="D7052" s="469"/>
      <c r="E7052" s="469"/>
      <c r="F7052" s="470"/>
      <c r="G7052" s="517"/>
    </row>
    <row r="7053" spans="1:7" ht="19.899999999999999" customHeight="1" x14ac:dyDescent="0.2">
      <c r="A7053" s="516" t="s">
        <v>712</v>
      </c>
      <c r="B7053" s="467">
        <f>Contratista</f>
        <v>0</v>
      </c>
      <c r="C7053" s="471"/>
      <c r="D7053" s="471"/>
      <c r="E7053" s="471"/>
      <c r="F7053" s="467"/>
      <c r="G7053" s="518"/>
    </row>
    <row r="7054" spans="1:7" ht="19.899999999999999" customHeight="1" x14ac:dyDescent="0.2">
      <c r="A7054" s="516" t="s">
        <v>21</v>
      </c>
      <c r="B7054" s="467" t="str">
        <f>Obra</f>
        <v>OBRA BÁSICA Y PAVIMENTACIÓN CALLE GÜEMES</v>
      </c>
      <c r="C7054" s="471"/>
      <c r="D7054" s="471"/>
      <c r="E7054" s="471"/>
      <c r="F7054" s="467" t="s">
        <v>32</v>
      </c>
      <c r="G7054" s="518">
        <f>Fecha_Base</f>
        <v>0</v>
      </c>
    </row>
    <row r="7055" spans="1:7" ht="19.899999999999999" customHeight="1" x14ac:dyDescent="0.2">
      <c r="A7055" s="519" t="s">
        <v>710</v>
      </c>
      <c r="B7055" s="472" t="str">
        <f>Ubicación</f>
        <v>Rawson - Santa Lucia</v>
      </c>
      <c r="C7055" s="472"/>
      <c r="D7055" s="473"/>
      <c r="E7055" s="474"/>
      <c r="F7055" s="475"/>
      <c r="G7055" s="520"/>
    </row>
    <row r="7056" spans="1:7" ht="19.899999999999999" customHeight="1" x14ac:dyDescent="0.2">
      <c r="A7056" s="519" t="s">
        <v>33</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22</v>
      </c>
      <c r="B7057" s="477" t="str">
        <f>IFERROR(VLOOKUP(COUNTIF($A$1:A7057,"ANALISIS DE PRECIOS"),T_NumeroItem,2,FALSE),"")</f>
        <v/>
      </c>
      <c r="C7057" s="719">
        <f ca="1">IFERROR(VLOOKUP(B7057,T_Computo_Presupuesto,2,FALSE),0)</f>
        <v>0</v>
      </c>
      <c r="D7057" s="719"/>
      <c r="E7057" s="719"/>
      <c r="F7057" s="472" t="s">
        <v>23</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999</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1000</v>
      </c>
      <c r="D7061" s="482" t="s">
        <v>24</v>
      </c>
      <c r="E7061" s="482" t="s">
        <v>1001</v>
      </c>
      <c r="F7061" s="482" t="s">
        <v>1002</v>
      </c>
      <c r="G7061" s="481" t="s">
        <v>1003</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1004</v>
      </c>
      <c r="D7073" s="472" t="s">
        <v>1001</v>
      </c>
      <c r="E7073" s="538">
        <f>SUMPRODUCT(D7062:D7071,E7062:E7071)</f>
        <v>0</v>
      </c>
      <c r="F7073" s="472" t="s">
        <v>1005</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1006</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06" t="s">
        <v>576</v>
      </c>
      <c r="B7077" s="707"/>
      <c r="C7077" s="708" t="s">
        <v>0</v>
      </c>
      <c r="D7077" s="720" t="s">
        <v>1866</v>
      </c>
      <c r="E7077" s="720" t="s">
        <v>1865</v>
      </c>
      <c r="F7077" s="712" t="s">
        <v>1007</v>
      </c>
      <c r="G7077" s="714" t="s">
        <v>26</v>
      </c>
    </row>
    <row r="7078" spans="1:7" ht="19.899999999999999" customHeight="1" x14ac:dyDescent="0.2">
      <c r="A7078" s="491" t="s">
        <v>577</v>
      </c>
      <c r="B7078" s="491" t="s">
        <v>578</v>
      </c>
      <c r="C7078" s="709"/>
      <c r="D7078" s="721"/>
      <c r="E7078" s="711"/>
      <c r="F7078" s="713"/>
      <c r="G7078" s="715"/>
    </row>
    <row r="7079" spans="1:7" ht="19.899999999999999" customHeight="1" x14ac:dyDescent="0.2">
      <c r="A7079" s="527"/>
      <c r="B7079" s="175"/>
      <c r="C7079" s="469" t="s">
        <v>1008</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27</v>
      </c>
      <c r="G7089" s="531">
        <f>SUBTOTAL(9,G7080:G7088)</f>
        <v>0</v>
      </c>
    </row>
    <row r="7090" spans="1:7" ht="19.899999999999999" customHeight="1" x14ac:dyDescent="0.2">
      <c r="A7090" s="527"/>
      <c r="B7090" s="175"/>
      <c r="C7090" s="469" t="s">
        <v>713</v>
      </c>
      <c r="D7090" s="473"/>
      <c r="E7090" s="474"/>
      <c r="F7090" s="475"/>
      <c r="G7090" s="528"/>
    </row>
    <row r="7091" spans="1:7" ht="19.899999999999999" customHeight="1" x14ac:dyDescent="0.2">
      <c r="A7091" s="706" t="s">
        <v>576</v>
      </c>
      <c r="B7091" s="707"/>
      <c r="C7091" s="708" t="s">
        <v>0</v>
      </c>
      <c r="D7091" s="710" t="s">
        <v>24</v>
      </c>
      <c r="E7091" s="710" t="s">
        <v>1832</v>
      </c>
      <c r="F7091" s="712" t="s">
        <v>1007</v>
      </c>
      <c r="G7091" s="714" t="s">
        <v>26</v>
      </c>
    </row>
    <row r="7092" spans="1:7" ht="19.899999999999999" customHeight="1" x14ac:dyDescent="0.2">
      <c r="A7092" s="491" t="s">
        <v>577</v>
      </c>
      <c r="B7092" s="491" t="s">
        <v>578</v>
      </c>
      <c r="C7092" s="709"/>
      <c r="D7092" s="711"/>
      <c r="E7092" s="711"/>
      <c r="F7092" s="713"/>
      <c r="G7092" s="715"/>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28</v>
      </c>
      <c r="G7100" s="532">
        <f>SUBTOTAL(9,G7093:G7099)</f>
        <v>0</v>
      </c>
    </row>
    <row r="7101" spans="1:7" ht="19.899999999999999" customHeight="1" x14ac:dyDescent="0.2">
      <c r="A7101" s="527"/>
      <c r="B7101" s="175"/>
      <c r="C7101" s="469" t="s">
        <v>1014</v>
      </c>
      <c r="D7101" s="473"/>
      <c r="E7101" s="474"/>
      <c r="F7101" s="475"/>
      <c r="G7101" s="528"/>
    </row>
    <row r="7102" spans="1:7" ht="19.899999999999999" customHeight="1" x14ac:dyDescent="0.2">
      <c r="A7102" s="706" t="s">
        <v>576</v>
      </c>
      <c r="B7102" s="707"/>
      <c r="C7102" s="708" t="s">
        <v>0</v>
      </c>
      <c r="D7102" s="708" t="s">
        <v>1867</v>
      </c>
      <c r="E7102" s="710" t="s">
        <v>24</v>
      </c>
      <c r="F7102" s="712" t="s">
        <v>25</v>
      </c>
      <c r="G7102" s="714" t="s">
        <v>26</v>
      </c>
    </row>
    <row r="7103" spans="1:7" ht="19.899999999999999" customHeight="1" x14ac:dyDescent="0.2">
      <c r="A7103" s="491" t="s">
        <v>577</v>
      </c>
      <c r="B7103" s="491" t="s">
        <v>578</v>
      </c>
      <c r="C7103" s="709"/>
      <c r="D7103" s="709"/>
      <c r="E7103" s="711"/>
      <c r="F7103" s="713"/>
      <c r="G7103" s="715"/>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29</v>
      </c>
      <c r="G7115" s="532">
        <f>SUBTOTAL(9,G7104:G7114)</f>
        <v>0</v>
      </c>
    </row>
    <row r="7116" spans="1:7" ht="19.899999999999999" customHeight="1" x14ac:dyDescent="0.2">
      <c r="A7116" s="527"/>
      <c r="B7116" s="175"/>
      <c r="C7116" s="469" t="s">
        <v>1015</v>
      </c>
      <c r="D7116" s="473"/>
      <c r="E7116" s="474"/>
      <c r="F7116" s="475"/>
      <c r="G7116" s="528"/>
    </row>
    <row r="7117" spans="1:7" ht="19.899999999999999" customHeight="1" x14ac:dyDescent="0.2">
      <c r="A7117" s="706" t="s">
        <v>576</v>
      </c>
      <c r="B7117" s="707"/>
      <c r="C7117" s="708" t="s">
        <v>0</v>
      </c>
      <c r="D7117" s="708" t="s">
        <v>1867</v>
      </c>
      <c r="E7117" s="710" t="s">
        <v>24</v>
      </c>
      <c r="F7117" s="712" t="s">
        <v>25</v>
      </c>
      <c r="G7117" s="714" t="s">
        <v>26</v>
      </c>
    </row>
    <row r="7118" spans="1:7" ht="19.899999999999999" customHeight="1" x14ac:dyDescent="0.2">
      <c r="A7118" s="491" t="s">
        <v>577</v>
      </c>
      <c r="B7118" s="491" t="s">
        <v>578</v>
      </c>
      <c r="C7118" s="709"/>
      <c r="D7118" s="709"/>
      <c r="E7118" s="711"/>
      <c r="F7118" s="713"/>
      <c r="G7118" s="715"/>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1016</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1833</v>
      </c>
      <c r="E7123" s="586"/>
      <c r="F7123" s="587" t="str">
        <f ca="1">"$/"&amp;G7057</f>
        <v>$/0</v>
      </c>
      <c r="G7123" s="537">
        <f>SUBTOTAL(9,G7080:G7122)</f>
        <v>0</v>
      </c>
    </row>
    <row r="7124" spans="1:7" ht="19.899999999999999" customHeight="1" x14ac:dyDescent="0.2">
      <c r="A7124" s="533"/>
      <c r="B7124" s="534"/>
      <c r="C7124" s="535"/>
      <c r="D7124" s="535" t="s">
        <v>2043</v>
      </c>
      <c r="E7124" s="536"/>
      <c r="F7124" s="589" t="str">
        <f ca="1">"$/"&amp;G7057</f>
        <v>$/0</v>
      </c>
      <c r="G7124" s="537">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16" t="s">
        <v>31</v>
      </c>
      <c r="B7126" s="717"/>
      <c r="C7126" s="717"/>
      <c r="D7126" s="717"/>
      <c r="E7126" s="717"/>
      <c r="F7126" s="717"/>
      <c r="G7126" s="718"/>
    </row>
    <row r="7127" spans="1:7" ht="19.899999999999999" customHeight="1" x14ac:dyDescent="0.2">
      <c r="A7127" s="516" t="s">
        <v>711</v>
      </c>
      <c r="B7127" s="467" t="str">
        <f>Comitente</f>
        <v>DIRECCIÓN PROVINCIAL DE VIALIDAD</v>
      </c>
      <c r="C7127" s="468"/>
      <c r="D7127" s="469"/>
      <c r="E7127" s="469"/>
      <c r="F7127" s="470"/>
      <c r="G7127" s="517"/>
    </row>
    <row r="7128" spans="1:7" ht="19.899999999999999" customHeight="1" x14ac:dyDescent="0.2">
      <c r="A7128" s="516" t="s">
        <v>712</v>
      </c>
      <c r="B7128" s="467">
        <f>Contratista</f>
        <v>0</v>
      </c>
      <c r="C7128" s="471"/>
      <c r="D7128" s="471"/>
      <c r="E7128" s="471"/>
      <c r="F7128" s="467"/>
      <c r="G7128" s="518"/>
    </row>
    <row r="7129" spans="1:7" ht="19.899999999999999" customHeight="1" x14ac:dyDescent="0.2">
      <c r="A7129" s="516" t="s">
        <v>21</v>
      </c>
      <c r="B7129" s="467" t="str">
        <f>Obra</f>
        <v>OBRA BÁSICA Y PAVIMENTACIÓN CALLE GÜEMES</v>
      </c>
      <c r="C7129" s="471"/>
      <c r="D7129" s="471"/>
      <c r="E7129" s="471"/>
      <c r="F7129" s="467" t="s">
        <v>32</v>
      </c>
      <c r="G7129" s="518">
        <f>Fecha_Base</f>
        <v>0</v>
      </c>
    </row>
    <row r="7130" spans="1:7" ht="19.899999999999999" customHeight="1" x14ac:dyDescent="0.2">
      <c r="A7130" s="519" t="s">
        <v>710</v>
      </c>
      <c r="B7130" s="472" t="str">
        <f>Ubicación</f>
        <v>Rawson - Santa Lucia</v>
      </c>
      <c r="C7130" s="472"/>
      <c r="D7130" s="473"/>
      <c r="E7130" s="474"/>
      <c r="F7130" s="475"/>
      <c r="G7130" s="520"/>
    </row>
    <row r="7131" spans="1:7" ht="19.899999999999999" customHeight="1" x14ac:dyDescent="0.2">
      <c r="A7131" s="519" t="s">
        <v>33</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22</v>
      </c>
      <c r="B7132" s="477" t="str">
        <f>IFERROR(VLOOKUP(COUNTIF($A$1:A7132,"ANALISIS DE PRECIOS"),T_NumeroItem,2,FALSE),"")</f>
        <v/>
      </c>
      <c r="C7132" s="719">
        <f ca="1">IFERROR(VLOOKUP(B7132,T_Computo_Presupuesto,2,FALSE),0)</f>
        <v>0</v>
      </c>
      <c r="D7132" s="719"/>
      <c r="E7132" s="719"/>
      <c r="F7132" s="472" t="s">
        <v>23</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999</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1000</v>
      </c>
      <c r="D7136" s="482" t="s">
        <v>24</v>
      </c>
      <c r="E7136" s="482" t="s">
        <v>1001</v>
      </c>
      <c r="F7136" s="482" t="s">
        <v>1002</v>
      </c>
      <c r="G7136" s="481" t="s">
        <v>1003</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1004</v>
      </c>
      <c r="D7148" s="472" t="s">
        <v>1001</v>
      </c>
      <c r="E7148" s="538">
        <f>SUMPRODUCT(D7137:D7146,E7137:E7146)</f>
        <v>0</v>
      </c>
      <c r="F7148" s="472" t="s">
        <v>1005</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1006</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06" t="s">
        <v>576</v>
      </c>
      <c r="B7152" s="707"/>
      <c r="C7152" s="708" t="s">
        <v>0</v>
      </c>
      <c r="D7152" s="720" t="s">
        <v>1866</v>
      </c>
      <c r="E7152" s="720" t="s">
        <v>1865</v>
      </c>
      <c r="F7152" s="712" t="s">
        <v>1007</v>
      </c>
      <c r="G7152" s="714" t="s">
        <v>26</v>
      </c>
    </row>
    <row r="7153" spans="1:7" ht="19.899999999999999" customHeight="1" x14ac:dyDescent="0.2">
      <c r="A7153" s="491" t="s">
        <v>577</v>
      </c>
      <c r="B7153" s="491" t="s">
        <v>578</v>
      </c>
      <c r="C7153" s="709"/>
      <c r="D7153" s="721"/>
      <c r="E7153" s="711"/>
      <c r="F7153" s="713"/>
      <c r="G7153" s="715"/>
    </row>
    <row r="7154" spans="1:7" ht="19.899999999999999" customHeight="1" x14ac:dyDescent="0.2">
      <c r="A7154" s="527"/>
      <c r="B7154" s="175"/>
      <c r="C7154" s="469" t="s">
        <v>1008</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27</v>
      </c>
      <c r="G7164" s="531">
        <f>SUBTOTAL(9,G7155:G7163)</f>
        <v>0</v>
      </c>
    </row>
    <row r="7165" spans="1:7" ht="19.899999999999999" customHeight="1" x14ac:dyDescent="0.2">
      <c r="A7165" s="527"/>
      <c r="B7165" s="175"/>
      <c r="C7165" s="469" t="s">
        <v>713</v>
      </c>
      <c r="D7165" s="473"/>
      <c r="E7165" s="474"/>
      <c r="F7165" s="475"/>
      <c r="G7165" s="528"/>
    </row>
    <row r="7166" spans="1:7" ht="19.899999999999999" customHeight="1" x14ac:dyDescent="0.2">
      <c r="A7166" s="706" t="s">
        <v>576</v>
      </c>
      <c r="B7166" s="707"/>
      <c r="C7166" s="708" t="s">
        <v>0</v>
      </c>
      <c r="D7166" s="710" t="s">
        <v>24</v>
      </c>
      <c r="E7166" s="710" t="s">
        <v>1832</v>
      </c>
      <c r="F7166" s="712" t="s">
        <v>1007</v>
      </c>
      <c r="G7166" s="714" t="s">
        <v>26</v>
      </c>
    </row>
    <row r="7167" spans="1:7" ht="19.899999999999999" customHeight="1" x14ac:dyDescent="0.2">
      <c r="A7167" s="491" t="s">
        <v>577</v>
      </c>
      <c r="B7167" s="491" t="s">
        <v>578</v>
      </c>
      <c r="C7167" s="709"/>
      <c r="D7167" s="711"/>
      <c r="E7167" s="711"/>
      <c r="F7167" s="713"/>
      <c r="G7167" s="715"/>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28</v>
      </c>
      <c r="G7175" s="532">
        <f>SUBTOTAL(9,G7168:G7174)</f>
        <v>0</v>
      </c>
    </row>
    <row r="7176" spans="1:7" ht="19.899999999999999" customHeight="1" x14ac:dyDescent="0.2">
      <c r="A7176" s="527"/>
      <c r="B7176" s="175"/>
      <c r="C7176" s="469" t="s">
        <v>1014</v>
      </c>
      <c r="D7176" s="473"/>
      <c r="E7176" s="474"/>
      <c r="F7176" s="475"/>
      <c r="G7176" s="528"/>
    </row>
    <row r="7177" spans="1:7" ht="19.899999999999999" customHeight="1" x14ac:dyDescent="0.2">
      <c r="A7177" s="706" t="s">
        <v>576</v>
      </c>
      <c r="B7177" s="707"/>
      <c r="C7177" s="708" t="s">
        <v>0</v>
      </c>
      <c r="D7177" s="708" t="s">
        <v>1867</v>
      </c>
      <c r="E7177" s="710" t="s">
        <v>24</v>
      </c>
      <c r="F7177" s="712" t="s">
        <v>25</v>
      </c>
      <c r="G7177" s="714" t="s">
        <v>26</v>
      </c>
    </row>
    <row r="7178" spans="1:7" ht="19.899999999999999" customHeight="1" x14ac:dyDescent="0.2">
      <c r="A7178" s="491" t="s">
        <v>577</v>
      </c>
      <c r="B7178" s="491" t="s">
        <v>578</v>
      </c>
      <c r="C7178" s="709"/>
      <c r="D7178" s="709"/>
      <c r="E7178" s="711"/>
      <c r="F7178" s="713"/>
      <c r="G7178" s="715"/>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29</v>
      </c>
      <c r="G7190" s="532">
        <f>SUBTOTAL(9,G7179:G7189)</f>
        <v>0</v>
      </c>
    </row>
    <row r="7191" spans="1:7" ht="19.899999999999999" customHeight="1" x14ac:dyDescent="0.2">
      <c r="A7191" s="527"/>
      <c r="B7191" s="175"/>
      <c r="C7191" s="469" t="s">
        <v>1015</v>
      </c>
      <c r="D7191" s="473"/>
      <c r="E7191" s="474"/>
      <c r="F7191" s="475"/>
      <c r="G7191" s="528"/>
    </row>
    <row r="7192" spans="1:7" ht="19.899999999999999" customHeight="1" x14ac:dyDescent="0.2">
      <c r="A7192" s="706" t="s">
        <v>576</v>
      </c>
      <c r="B7192" s="707"/>
      <c r="C7192" s="708" t="s">
        <v>0</v>
      </c>
      <c r="D7192" s="708" t="s">
        <v>1867</v>
      </c>
      <c r="E7192" s="710" t="s">
        <v>24</v>
      </c>
      <c r="F7192" s="712" t="s">
        <v>25</v>
      </c>
      <c r="G7192" s="714" t="s">
        <v>26</v>
      </c>
    </row>
    <row r="7193" spans="1:7" ht="19.899999999999999" customHeight="1" x14ac:dyDescent="0.2">
      <c r="A7193" s="491" t="s">
        <v>577</v>
      </c>
      <c r="B7193" s="491" t="s">
        <v>578</v>
      </c>
      <c r="C7193" s="709"/>
      <c r="D7193" s="709"/>
      <c r="E7193" s="711"/>
      <c r="F7193" s="713"/>
      <c r="G7193" s="715"/>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1016</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1833</v>
      </c>
      <c r="E7198" s="586"/>
      <c r="F7198" s="587" t="str">
        <f ca="1">"$/"&amp;G7132</f>
        <v>$/0</v>
      </c>
      <c r="G7198" s="537">
        <f>SUBTOTAL(9,G7155:G7197)</f>
        <v>0</v>
      </c>
    </row>
    <row r="7199" spans="1:7" ht="19.899999999999999" customHeight="1" x14ac:dyDescent="0.2">
      <c r="A7199" s="533"/>
      <c r="B7199" s="534"/>
      <c r="C7199" s="535"/>
      <c r="D7199" s="535" t="s">
        <v>2043</v>
      </c>
      <c r="E7199" s="536"/>
      <c r="F7199" s="589" t="str">
        <f ca="1">"$/"&amp;G7132</f>
        <v>$/0</v>
      </c>
      <c r="G7199" s="537">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16" t="s">
        <v>31</v>
      </c>
      <c r="B7201" s="717"/>
      <c r="C7201" s="717"/>
      <c r="D7201" s="717"/>
      <c r="E7201" s="717"/>
      <c r="F7201" s="717"/>
      <c r="G7201" s="718"/>
    </row>
    <row r="7202" spans="1:7" ht="19.899999999999999" customHeight="1" x14ac:dyDescent="0.2">
      <c r="A7202" s="516" t="s">
        <v>711</v>
      </c>
      <c r="B7202" s="467" t="str">
        <f>Comitente</f>
        <v>DIRECCIÓN PROVINCIAL DE VIALIDAD</v>
      </c>
      <c r="C7202" s="468"/>
      <c r="D7202" s="469"/>
      <c r="E7202" s="469"/>
      <c r="F7202" s="470"/>
      <c r="G7202" s="517"/>
    </row>
    <row r="7203" spans="1:7" ht="19.899999999999999" customHeight="1" x14ac:dyDescent="0.2">
      <c r="A7203" s="516" t="s">
        <v>712</v>
      </c>
      <c r="B7203" s="467">
        <f>Contratista</f>
        <v>0</v>
      </c>
      <c r="C7203" s="471"/>
      <c r="D7203" s="471"/>
      <c r="E7203" s="471"/>
      <c r="F7203" s="467"/>
      <c r="G7203" s="518"/>
    </row>
    <row r="7204" spans="1:7" ht="19.899999999999999" customHeight="1" x14ac:dyDescent="0.2">
      <c r="A7204" s="516" t="s">
        <v>21</v>
      </c>
      <c r="B7204" s="467" t="str">
        <f>Obra</f>
        <v>OBRA BÁSICA Y PAVIMENTACIÓN CALLE GÜEMES</v>
      </c>
      <c r="C7204" s="471"/>
      <c r="D7204" s="471"/>
      <c r="E7204" s="471"/>
      <c r="F7204" s="467" t="s">
        <v>32</v>
      </c>
      <c r="G7204" s="518">
        <f>Fecha_Base</f>
        <v>0</v>
      </c>
    </row>
    <row r="7205" spans="1:7" ht="19.899999999999999" customHeight="1" x14ac:dyDescent="0.2">
      <c r="A7205" s="519" t="s">
        <v>710</v>
      </c>
      <c r="B7205" s="472" t="str">
        <f>Ubicación</f>
        <v>Rawson - Santa Lucia</v>
      </c>
      <c r="C7205" s="472"/>
      <c r="D7205" s="473"/>
      <c r="E7205" s="474"/>
      <c r="F7205" s="475"/>
      <c r="G7205" s="520"/>
    </row>
    <row r="7206" spans="1:7" ht="19.899999999999999" customHeight="1" x14ac:dyDescent="0.2">
      <c r="A7206" s="519" t="s">
        <v>33</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22</v>
      </c>
      <c r="B7207" s="477" t="str">
        <f>IFERROR(VLOOKUP(COUNTIF($A$1:A7207,"ANALISIS DE PRECIOS"),T_NumeroItem,2,FALSE),"")</f>
        <v/>
      </c>
      <c r="C7207" s="719">
        <f ca="1">IFERROR(VLOOKUP(B7207,T_Computo_Presupuesto,2,FALSE),0)</f>
        <v>0</v>
      </c>
      <c r="D7207" s="719"/>
      <c r="E7207" s="719"/>
      <c r="F7207" s="472" t="s">
        <v>23</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999</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1000</v>
      </c>
      <c r="D7211" s="482" t="s">
        <v>24</v>
      </c>
      <c r="E7211" s="482" t="s">
        <v>1001</v>
      </c>
      <c r="F7211" s="482" t="s">
        <v>1002</v>
      </c>
      <c r="G7211" s="481" t="s">
        <v>1003</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1004</v>
      </c>
      <c r="D7223" s="472" t="s">
        <v>1001</v>
      </c>
      <c r="E7223" s="538">
        <f>SUMPRODUCT(D7212:D7221,E7212:E7221)</f>
        <v>0</v>
      </c>
      <c r="F7223" s="472" t="s">
        <v>1005</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1006</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06" t="s">
        <v>576</v>
      </c>
      <c r="B7227" s="707"/>
      <c r="C7227" s="708" t="s">
        <v>0</v>
      </c>
      <c r="D7227" s="720" t="s">
        <v>1866</v>
      </c>
      <c r="E7227" s="720" t="s">
        <v>1865</v>
      </c>
      <c r="F7227" s="712" t="s">
        <v>1007</v>
      </c>
      <c r="G7227" s="714" t="s">
        <v>26</v>
      </c>
    </row>
    <row r="7228" spans="1:7" ht="19.899999999999999" customHeight="1" x14ac:dyDescent="0.2">
      <c r="A7228" s="491" t="s">
        <v>577</v>
      </c>
      <c r="B7228" s="491" t="s">
        <v>578</v>
      </c>
      <c r="C7228" s="709"/>
      <c r="D7228" s="721"/>
      <c r="E7228" s="711"/>
      <c r="F7228" s="713"/>
      <c r="G7228" s="715"/>
    </row>
    <row r="7229" spans="1:7" ht="19.899999999999999" customHeight="1" x14ac:dyDescent="0.2">
      <c r="A7229" s="527"/>
      <c r="B7229" s="175"/>
      <c r="C7229" s="469" t="s">
        <v>1008</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27</v>
      </c>
      <c r="G7239" s="531">
        <f>SUBTOTAL(9,G7230:G7238)</f>
        <v>0</v>
      </c>
    </row>
    <row r="7240" spans="1:7" ht="19.899999999999999" customHeight="1" x14ac:dyDescent="0.2">
      <c r="A7240" s="527"/>
      <c r="B7240" s="175"/>
      <c r="C7240" s="469" t="s">
        <v>713</v>
      </c>
      <c r="D7240" s="473"/>
      <c r="E7240" s="474"/>
      <c r="F7240" s="475"/>
      <c r="G7240" s="528"/>
    </row>
    <row r="7241" spans="1:7" ht="19.899999999999999" customHeight="1" x14ac:dyDescent="0.2">
      <c r="A7241" s="706" t="s">
        <v>576</v>
      </c>
      <c r="B7241" s="707"/>
      <c r="C7241" s="708" t="s">
        <v>0</v>
      </c>
      <c r="D7241" s="710" t="s">
        <v>24</v>
      </c>
      <c r="E7241" s="710" t="s">
        <v>1832</v>
      </c>
      <c r="F7241" s="712" t="s">
        <v>1007</v>
      </c>
      <c r="G7241" s="714" t="s">
        <v>26</v>
      </c>
    </row>
    <row r="7242" spans="1:7" ht="19.899999999999999" customHeight="1" x14ac:dyDescent="0.2">
      <c r="A7242" s="491" t="s">
        <v>577</v>
      </c>
      <c r="B7242" s="491" t="s">
        <v>578</v>
      </c>
      <c r="C7242" s="709"/>
      <c r="D7242" s="711"/>
      <c r="E7242" s="711"/>
      <c r="F7242" s="713"/>
      <c r="G7242" s="715"/>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28</v>
      </c>
      <c r="G7250" s="532">
        <f>SUBTOTAL(9,G7243:G7249)</f>
        <v>0</v>
      </c>
    </row>
    <row r="7251" spans="1:7" ht="19.899999999999999" customHeight="1" x14ac:dyDescent="0.2">
      <c r="A7251" s="527"/>
      <c r="B7251" s="175"/>
      <c r="C7251" s="469" t="s">
        <v>1014</v>
      </c>
      <c r="D7251" s="473"/>
      <c r="E7251" s="474"/>
      <c r="F7251" s="475"/>
      <c r="G7251" s="528"/>
    </row>
    <row r="7252" spans="1:7" ht="19.899999999999999" customHeight="1" x14ac:dyDescent="0.2">
      <c r="A7252" s="706" t="s">
        <v>576</v>
      </c>
      <c r="B7252" s="707"/>
      <c r="C7252" s="708" t="s">
        <v>0</v>
      </c>
      <c r="D7252" s="708" t="s">
        <v>1867</v>
      </c>
      <c r="E7252" s="710" t="s">
        <v>24</v>
      </c>
      <c r="F7252" s="712" t="s">
        <v>25</v>
      </c>
      <c r="G7252" s="714" t="s">
        <v>26</v>
      </c>
    </row>
    <row r="7253" spans="1:7" ht="19.899999999999999" customHeight="1" x14ac:dyDescent="0.2">
      <c r="A7253" s="491" t="s">
        <v>577</v>
      </c>
      <c r="B7253" s="491" t="s">
        <v>578</v>
      </c>
      <c r="C7253" s="709"/>
      <c r="D7253" s="709"/>
      <c r="E7253" s="711"/>
      <c r="F7253" s="713"/>
      <c r="G7253" s="715"/>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29</v>
      </c>
      <c r="G7265" s="532">
        <f>SUBTOTAL(9,G7254:G7264)</f>
        <v>0</v>
      </c>
    </row>
    <row r="7266" spans="1:7" ht="19.899999999999999" customHeight="1" x14ac:dyDescent="0.2">
      <c r="A7266" s="527"/>
      <c r="B7266" s="175"/>
      <c r="C7266" s="469" t="s">
        <v>1015</v>
      </c>
      <c r="D7266" s="473"/>
      <c r="E7266" s="474"/>
      <c r="F7266" s="475"/>
      <c r="G7266" s="528"/>
    </row>
    <row r="7267" spans="1:7" ht="19.899999999999999" customHeight="1" x14ac:dyDescent="0.2">
      <c r="A7267" s="706" t="s">
        <v>576</v>
      </c>
      <c r="B7267" s="707"/>
      <c r="C7267" s="708" t="s">
        <v>0</v>
      </c>
      <c r="D7267" s="708" t="s">
        <v>1867</v>
      </c>
      <c r="E7267" s="710" t="s">
        <v>24</v>
      </c>
      <c r="F7267" s="712" t="s">
        <v>25</v>
      </c>
      <c r="G7267" s="714" t="s">
        <v>26</v>
      </c>
    </row>
    <row r="7268" spans="1:7" ht="19.899999999999999" customHeight="1" x14ac:dyDescent="0.2">
      <c r="A7268" s="491" t="s">
        <v>577</v>
      </c>
      <c r="B7268" s="491" t="s">
        <v>578</v>
      </c>
      <c r="C7268" s="709"/>
      <c r="D7268" s="709"/>
      <c r="E7268" s="711"/>
      <c r="F7268" s="713"/>
      <c r="G7268" s="715"/>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1016</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1833</v>
      </c>
      <c r="E7273" s="586"/>
      <c r="F7273" s="587" t="str">
        <f ca="1">"$/"&amp;G7207</f>
        <v>$/0</v>
      </c>
      <c r="G7273" s="537">
        <f>SUBTOTAL(9,G7230:G7272)</f>
        <v>0</v>
      </c>
    </row>
    <row r="7274" spans="1:7" ht="19.899999999999999" customHeight="1" x14ac:dyDescent="0.2">
      <c r="A7274" s="533"/>
      <c r="B7274" s="534"/>
      <c r="C7274" s="535"/>
      <c r="D7274" s="535" t="s">
        <v>2043</v>
      </c>
      <c r="E7274" s="536"/>
      <c r="F7274" s="589" t="str">
        <f ca="1">"$/"&amp;G7207</f>
        <v>$/0</v>
      </c>
      <c r="G7274" s="537">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16" t="s">
        <v>31</v>
      </c>
      <c r="B7276" s="717"/>
      <c r="C7276" s="717"/>
      <c r="D7276" s="717"/>
      <c r="E7276" s="717"/>
      <c r="F7276" s="717"/>
      <c r="G7276" s="718"/>
    </row>
    <row r="7277" spans="1:7" ht="19.899999999999999" customHeight="1" x14ac:dyDescent="0.2">
      <c r="A7277" s="516" t="s">
        <v>711</v>
      </c>
      <c r="B7277" s="467" t="str">
        <f>Comitente</f>
        <v>DIRECCIÓN PROVINCIAL DE VIALIDAD</v>
      </c>
      <c r="C7277" s="468"/>
      <c r="D7277" s="469"/>
      <c r="E7277" s="469"/>
      <c r="F7277" s="470"/>
      <c r="G7277" s="517"/>
    </row>
    <row r="7278" spans="1:7" ht="19.899999999999999" customHeight="1" x14ac:dyDescent="0.2">
      <c r="A7278" s="516" t="s">
        <v>712</v>
      </c>
      <c r="B7278" s="467">
        <f>Contratista</f>
        <v>0</v>
      </c>
      <c r="C7278" s="471"/>
      <c r="D7278" s="471"/>
      <c r="E7278" s="471"/>
      <c r="F7278" s="467"/>
      <c r="G7278" s="518"/>
    </row>
    <row r="7279" spans="1:7" ht="19.899999999999999" customHeight="1" x14ac:dyDescent="0.2">
      <c r="A7279" s="516" t="s">
        <v>21</v>
      </c>
      <c r="B7279" s="467" t="str">
        <f>Obra</f>
        <v>OBRA BÁSICA Y PAVIMENTACIÓN CALLE GÜEMES</v>
      </c>
      <c r="C7279" s="471"/>
      <c r="D7279" s="471"/>
      <c r="E7279" s="471"/>
      <c r="F7279" s="467" t="s">
        <v>32</v>
      </c>
      <c r="G7279" s="518">
        <f>Fecha_Base</f>
        <v>0</v>
      </c>
    </row>
    <row r="7280" spans="1:7" ht="19.899999999999999" customHeight="1" x14ac:dyDescent="0.2">
      <c r="A7280" s="519" t="s">
        <v>710</v>
      </c>
      <c r="B7280" s="472" t="str">
        <f>Ubicación</f>
        <v>Rawson - Santa Lucia</v>
      </c>
      <c r="C7280" s="472"/>
      <c r="D7280" s="473"/>
      <c r="E7280" s="474"/>
      <c r="F7280" s="475"/>
      <c r="G7280" s="520"/>
    </row>
    <row r="7281" spans="1:7" ht="19.899999999999999" customHeight="1" x14ac:dyDescent="0.2">
      <c r="A7281" s="519" t="s">
        <v>33</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22</v>
      </c>
      <c r="B7282" s="477" t="str">
        <f>IFERROR(VLOOKUP(COUNTIF($A$1:A7282,"ANALISIS DE PRECIOS"),T_NumeroItem,2,FALSE),"")</f>
        <v/>
      </c>
      <c r="C7282" s="719">
        <f ca="1">IFERROR(VLOOKUP(B7282,T_Computo_Presupuesto,2,FALSE),0)</f>
        <v>0</v>
      </c>
      <c r="D7282" s="719"/>
      <c r="E7282" s="719"/>
      <c r="F7282" s="472" t="s">
        <v>23</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999</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1000</v>
      </c>
      <c r="D7286" s="482" t="s">
        <v>24</v>
      </c>
      <c r="E7286" s="482" t="s">
        <v>1001</v>
      </c>
      <c r="F7286" s="482" t="s">
        <v>1002</v>
      </c>
      <c r="G7286" s="481" t="s">
        <v>1003</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1004</v>
      </c>
      <c r="D7298" s="472" t="s">
        <v>1001</v>
      </c>
      <c r="E7298" s="538">
        <f>SUMPRODUCT(D7287:D7296,E7287:E7296)</f>
        <v>0</v>
      </c>
      <c r="F7298" s="472" t="s">
        <v>1005</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1006</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06" t="s">
        <v>576</v>
      </c>
      <c r="B7302" s="707"/>
      <c r="C7302" s="708" t="s">
        <v>0</v>
      </c>
      <c r="D7302" s="720" t="s">
        <v>1866</v>
      </c>
      <c r="E7302" s="720" t="s">
        <v>1865</v>
      </c>
      <c r="F7302" s="712" t="s">
        <v>1007</v>
      </c>
      <c r="G7302" s="714" t="s">
        <v>26</v>
      </c>
    </row>
    <row r="7303" spans="1:7" ht="19.899999999999999" customHeight="1" x14ac:dyDescent="0.2">
      <c r="A7303" s="491" t="s">
        <v>577</v>
      </c>
      <c r="B7303" s="491" t="s">
        <v>578</v>
      </c>
      <c r="C7303" s="709"/>
      <c r="D7303" s="721"/>
      <c r="E7303" s="711"/>
      <c r="F7303" s="713"/>
      <c r="G7303" s="715"/>
    </row>
    <row r="7304" spans="1:7" ht="19.899999999999999" customHeight="1" x14ac:dyDescent="0.2">
      <c r="A7304" s="527"/>
      <c r="B7304" s="175"/>
      <c r="C7304" s="469" t="s">
        <v>1008</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27</v>
      </c>
      <c r="G7314" s="531">
        <f>SUBTOTAL(9,G7305:G7313)</f>
        <v>0</v>
      </c>
    </row>
    <row r="7315" spans="1:7" ht="19.899999999999999" customHeight="1" x14ac:dyDescent="0.2">
      <c r="A7315" s="527"/>
      <c r="B7315" s="175"/>
      <c r="C7315" s="469" t="s">
        <v>713</v>
      </c>
      <c r="D7315" s="473"/>
      <c r="E7315" s="474"/>
      <c r="F7315" s="475"/>
      <c r="G7315" s="528"/>
    </row>
    <row r="7316" spans="1:7" ht="19.899999999999999" customHeight="1" x14ac:dyDescent="0.2">
      <c r="A7316" s="706" t="s">
        <v>576</v>
      </c>
      <c r="B7316" s="707"/>
      <c r="C7316" s="708" t="s">
        <v>0</v>
      </c>
      <c r="D7316" s="710" t="s">
        <v>24</v>
      </c>
      <c r="E7316" s="710" t="s">
        <v>1832</v>
      </c>
      <c r="F7316" s="712" t="s">
        <v>1007</v>
      </c>
      <c r="G7316" s="714" t="s">
        <v>26</v>
      </c>
    </row>
    <row r="7317" spans="1:7" ht="19.899999999999999" customHeight="1" x14ac:dyDescent="0.2">
      <c r="A7317" s="491" t="s">
        <v>577</v>
      </c>
      <c r="B7317" s="491" t="s">
        <v>578</v>
      </c>
      <c r="C7317" s="709"/>
      <c r="D7317" s="711"/>
      <c r="E7317" s="711"/>
      <c r="F7317" s="713"/>
      <c r="G7317" s="715"/>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28</v>
      </c>
      <c r="G7325" s="532">
        <f>SUBTOTAL(9,G7318:G7324)</f>
        <v>0</v>
      </c>
    </row>
    <row r="7326" spans="1:7" ht="19.899999999999999" customHeight="1" x14ac:dyDescent="0.2">
      <c r="A7326" s="527"/>
      <c r="B7326" s="175"/>
      <c r="C7326" s="469" t="s">
        <v>1014</v>
      </c>
      <c r="D7326" s="473"/>
      <c r="E7326" s="474"/>
      <c r="F7326" s="475"/>
      <c r="G7326" s="528"/>
    </row>
    <row r="7327" spans="1:7" ht="19.899999999999999" customHeight="1" x14ac:dyDescent="0.2">
      <c r="A7327" s="706" t="s">
        <v>576</v>
      </c>
      <c r="B7327" s="707"/>
      <c r="C7327" s="708" t="s">
        <v>0</v>
      </c>
      <c r="D7327" s="708" t="s">
        <v>1867</v>
      </c>
      <c r="E7327" s="710" t="s">
        <v>24</v>
      </c>
      <c r="F7327" s="712" t="s">
        <v>25</v>
      </c>
      <c r="G7327" s="714" t="s">
        <v>26</v>
      </c>
    </row>
    <row r="7328" spans="1:7" ht="19.899999999999999" customHeight="1" x14ac:dyDescent="0.2">
      <c r="A7328" s="491" t="s">
        <v>577</v>
      </c>
      <c r="B7328" s="491" t="s">
        <v>578</v>
      </c>
      <c r="C7328" s="709"/>
      <c r="D7328" s="709"/>
      <c r="E7328" s="711"/>
      <c r="F7328" s="713"/>
      <c r="G7328" s="715"/>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29</v>
      </c>
      <c r="G7340" s="532">
        <f>SUBTOTAL(9,G7329:G7339)</f>
        <v>0</v>
      </c>
    </row>
    <row r="7341" spans="1:7" ht="19.899999999999999" customHeight="1" x14ac:dyDescent="0.2">
      <c r="A7341" s="527"/>
      <c r="B7341" s="175"/>
      <c r="C7341" s="469" t="s">
        <v>1015</v>
      </c>
      <c r="D7341" s="473"/>
      <c r="E7341" s="474"/>
      <c r="F7341" s="475"/>
      <c r="G7341" s="528"/>
    </row>
    <row r="7342" spans="1:7" ht="19.899999999999999" customHeight="1" x14ac:dyDescent="0.2">
      <c r="A7342" s="706" t="s">
        <v>576</v>
      </c>
      <c r="B7342" s="707"/>
      <c r="C7342" s="708" t="s">
        <v>0</v>
      </c>
      <c r="D7342" s="708" t="s">
        <v>1867</v>
      </c>
      <c r="E7342" s="710" t="s">
        <v>24</v>
      </c>
      <c r="F7342" s="712" t="s">
        <v>25</v>
      </c>
      <c r="G7342" s="714" t="s">
        <v>26</v>
      </c>
    </row>
    <row r="7343" spans="1:7" ht="19.899999999999999" customHeight="1" x14ac:dyDescent="0.2">
      <c r="A7343" s="491" t="s">
        <v>577</v>
      </c>
      <c r="B7343" s="491" t="s">
        <v>578</v>
      </c>
      <c r="C7343" s="709"/>
      <c r="D7343" s="709"/>
      <c r="E7343" s="711"/>
      <c r="F7343" s="713"/>
      <c r="G7343" s="715"/>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1016</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1833</v>
      </c>
      <c r="E7348" s="586"/>
      <c r="F7348" s="587" t="str">
        <f ca="1">"$/"&amp;G7282</f>
        <v>$/0</v>
      </c>
      <c r="G7348" s="537">
        <f>SUBTOTAL(9,G7305:G7347)</f>
        <v>0</v>
      </c>
    </row>
    <row r="7349" spans="1:7" ht="19.899999999999999" customHeight="1" x14ac:dyDescent="0.2">
      <c r="A7349" s="533"/>
      <c r="B7349" s="534"/>
      <c r="C7349" s="535"/>
      <c r="D7349" s="535" t="s">
        <v>2043</v>
      </c>
      <c r="E7349" s="536"/>
      <c r="F7349" s="589" t="str">
        <f ca="1">"$/"&amp;G7282</f>
        <v>$/0</v>
      </c>
      <c r="G7349" s="537">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16" t="s">
        <v>31</v>
      </c>
      <c r="B7351" s="717"/>
      <c r="C7351" s="717"/>
      <c r="D7351" s="717"/>
      <c r="E7351" s="717"/>
      <c r="F7351" s="717"/>
      <c r="G7351" s="718"/>
    </row>
    <row r="7352" spans="1:7" ht="19.899999999999999" customHeight="1" x14ac:dyDescent="0.2">
      <c r="A7352" s="516" t="s">
        <v>711</v>
      </c>
      <c r="B7352" s="467" t="str">
        <f>Comitente</f>
        <v>DIRECCIÓN PROVINCIAL DE VIALIDAD</v>
      </c>
      <c r="C7352" s="468"/>
      <c r="D7352" s="469"/>
      <c r="E7352" s="469"/>
      <c r="F7352" s="470"/>
      <c r="G7352" s="517"/>
    </row>
    <row r="7353" spans="1:7" ht="19.899999999999999" customHeight="1" x14ac:dyDescent="0.2">
      <c r="A7353" s="516" t="s">
        <v>712</v>
      </c>
      <c r="B7353" s="467">
        <f>Contratista</f>
        <v>0</v>
      </c>
      <c r="C7353" s="471"/>
      <c r="D7353" s="471"/>
      <c r="E7353" s="471"/>
      <c r="F7353" s="467"/>
      <c r="G7353" s="518"/>
    </row>
    <row r="7354" spans="1:7" ht="19.899999999999999" customHeight="1" x14ac:dyDescent="0.2">
      <c r="A7354" s="516" t="s">
        <v>21</v>
      </c>
      <c r="B7354" s="467" t="str">
        <f>Obra</f>
        <v>OBRA BÁSICA Y PAVIMENTACIÓN CALLE GÜEMES</v>
      </c>
      <c r="C7354" s="471"/>
      <c r="D7354" s="471"/>
      <c r="E7354" s="471"/>
      <c r="F7354" s="467" t="s">
        <v>32</v>
      </c>
      <c r="G7354" s="518">
        <f>Fecha_Base</f>
        <v>0</v>
      </c>
    </row>
    <row r="7355" spans="1:7" ht="19.899999999999999" customHeight="1" x14ac:dyDescent="0.2">
      <c r="A7355" s="519" t="s">
        <v>710</v>
      </c>
      <c r="B7355" s="472" t="str">
        <f>Ubicación</f>
        <v>Rawson - Santa Lucia</v>
      </c>
      <c r="C7355" s="472"/>
      <c r="D7355" s="473"/>
      <c r="E7355" s="474"/>
      <c r="F7355" s="475"/>
      <c r="G7355" s="520"/>
    </row>
    <row r="7356" spans="1:7" ht="19.899999999999999" customHeight="1" x14ac:dyDescent="0.2">
      <c r="A7356" s="519" t="s">
        <v>33</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22</v>
      </c>
      <c r="B7357" s="477" t="str">
        <f>IFERROR(VLOOKUP(COUNTIF($A$1:A7357,"ANALISIS DE PRECIOS"),T_NumeroItem,2,FALSE),"")</f>
        <v/>
      </c>
      <c r="C7357" s="719">
        <f ca="1">IFERROR(VLOOKUP(B7357,T_Computo_Presupuesto,2,FALSE),0)</f>
        <v>0</v>
      </c>
      <c r="D7357" s="719"/>
      <c r="E7357" s="719"/>
      <c r="F7357" s="472" t="s">
        <v>23</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999</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1000</v>
      </c>
      <c r="D7361" s="482" t="s">
        <v>24</v>
      </c>
      <c r="E7361" s="482" t="s">
        <v>1001</v>
      </c>
      <c r="F7361" s="482" t="s">
        <v>1002</v>
      </c>
      <c r="G7361" s="481" t="s">
        <v>1003</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1004</v>
      </c>
      <c r="D7373" s="472" t="s">
        <v>1001</v>
      </c>
      <c r="E7373" s="538">
        <f>SUMPRODUCT(D7362:D7371,E7362:E7371)</f>
        <v>0</v>
      </c>
      <c r="F7373" s="472" t="s">
        <v>1005</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1006</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06" t="s">
        <v>576</v>
      </c>
      <c r="B7377" s="707"/>
      <c r="C7377" s="708" t="s">
        <v>0</v>
      </c>
      <c r="D7377" s="720" t="s">
        <v>1866</v>
      </c>
      <c r="E7377" s="720" t="s">
        <v>1865</v>
      </c>
      <c r="F7377" s="712" t="s">
        <v>1007</v>
      </c>
      <c r="G7377" s="714" t="s">
        <v>26</v>
      </c>
    </row>
    <row r="7378" spans="1:7" ht="19.899999999999999" customHeight="1" x14ac:dyDescent="0.2">
      <c r="A7378" s="491" t="s">
        <v>577</v>
      </c>
      <c r="B7378" s="491" t="s">
        <v>578</v>
      </c>
      <c r="C7378" s="709"/>
      <c r="D7378" s="721"/>
      <c r="E7378" s="711"/>
      <c r="F7378" s="713"/>
      <c r="G7378" s="715"/>
    </row>
    <row r="7379" spans="1:7" ht="19.899999999999999" customHeight="1" x14ac:dyDescent="0.2">
      <c r="A7379" s="527"/>
      <c r="B7379" s="175"/>
      <c r="C7379" s="469" t="s">
        <v>1008</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27</v>
      </c>
      <c r="G7389" s="531">
        <f>SUBTOTAL(9,G7380:G7388)</f>
        <v>0</v>
      </c>
    </row>
    <row r="7390" spans="1:7" ht="19.899999999999999" customHeight="1" x14ac:dyDescent="0.2">
      <c r="A7390" s="527"/>
      <c r="B7390" s="175"/>
      <c r="C7390" s="469" t="s">
        <v>713</v>
      </c>
      <c r="D7390" s="473"/>
      <c r="E7390" s="474"/>
      <c r="F7390" s="475"/>
      <c r="G7390" s="528"/>
    </row>
    <row r="7391" spans="1:7" ht="19.899999999999999" customHeight="1" x14ac:dyDescent="0.2">
      <c r="A7391" s="706" t="s">
        <v>576</v>
      </c>
      <c r="B7391" s="707"/>
      <c r="C7391" s="708" t="s">
        <v>0</v>
      </c>
      <c r="D7391" s="710" t="s">
        <v>24</v>
      </c>
      <c r="E7391" s="710" t="s">
        <v>1832</v>
      </c>
      <c r="F7391" s="712" t="s">
        <v>1007</v>
      </c>
      <c r="G7391" s="714" t="s">
        <v>26</v>
      </c>
    </row>
    <row r="7392" spans="1:7" ht="19.899999999999999" customHeight="1" x14ac:dyDescent="0.2">
      <c r="A7392" s="491" t="s">
        <v>577</v>
      </c>
      <c r="B7392" s="491" t="s">
        <v>578</v>
      </c>
      <c r="C7392" s="709"/>
      <c r="D7392" s="711"/>
      <c r="E7392" s="711"/>
      <c r="F7392" s="713"/>
      <c r="G7392" s="715"/>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28</v>
      </c>
      <c r="G7400" s="532">
        <f>SUBTOTAL(9,G7393:G7399)</f>
        <v>0</v>
      </c>
    </row>
    <row r="7401" spans="1:7" ht="19.899999999999999" customHeight="1" x14ac:dyDescent="0.2">
      <c r="A7401" s="527"/>
      <c r="B7401" s="175"/>
      <c r="C7401" s="469" t="s">
        <v>1014</v>
      </c>
      <c r="D7401" s="473"/>
      <c r="E7401" s="474"/>
      <c r="F7401" s="475"/>
      <c r="G7401" s="528"/>
    </row>
    <row r="7402" spans="1:7" ht="19.899999999999999" customHeight="1" x14ac:dyDescent="0.2">
      <c r="A7402" s="706" t="s">
        <v>576</v>
      </c>
      <c r="B7402" s="707"/>
      <c r="C7402" s="708" t="s">
        <v>0</v>
      </c>
      <c r="D7402" s="708" t="s">
        <v>1867</v>
      </c>
      <c r="E7402" s="710" t="s">
        <v>24</v>
      </c>
      <c r="F7402" s="712" t="s">
        <v>25</v>
      </c>
      <c r="G7402" s="714" t="s">
        <v>26</v>
      </c>
    </row>
    <row r="7403" spans="1:7" ht="19.899999999999999" customHeight="1" x14ac:dyDescent="0.2">
      <c r="A7403" s="491" t="s">
        <v>577</v>
      </c>
      <c r="B7403" s="491" t="s">
        <v>578</v>
      </c>
      <c r="C7403" s="709"/>
      <c r="D7403" s="709"/>
      <c r="E7403" s="711"/>
      <c r="F7403" s="713"/>
      <c r="G7403" s="715"/>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29</v>
      </c>
      <c r="G7415" s="532">
        <f>SUBTOTAL(9,G7404:G7414)</f>
        <v>0</v>
      </c>
    </row>
    <row r="7416" spans="1:7" ht="19.899999999999999" customHeight="1" x14ac:dyDescent="0.2">
      <c r="A7416" s="527"/>
      <c r="B7416" s="175"/>
      <c r="C7416" s="469" t="s">
        <v>1015</v>
      </c>
      <c r="D7416" s="473"/>
      <c r="E7416" s="474"/>
      <c r="F7416" s="475"/>
      <c r="G7416" s="528"/>
    </row>
    <row r="7417" spans="1:7" ht="19.899999999999999" customHeight="1" x14ac:dyDescent="0.2">
      <c r="A7417" s="706" t="s">
        <v>576</v>
      </c>
      <c r="B7417" s="707"/>
      <c r="C7417" s="708" t="s">
        <v>0</v>
      </c>
      <c r="D7417" s="708" t="s">
        <v>1867</v>
      </c>
      <c r="E7417" s="710" t="s">
        <v>24</v>
      </c>
      <c r="F7417" s="712" t="s">
        <v>25</v>
      </c>
      <c r="G7417" s="714" t="s">
        <v>26</v>
      </c>
    </row>
    <row r="7418" spans="1:7" ht="19.899999999999999" customHeight="1" x14ac:dyDescent="0.2">
      <c r="A7418" s="491" t="s">
        <v>577</v>
      </c>
      <c r="B7418" s="491" t="s">
        <v>578</v>
      </c>
      <c r="C7418" s="709"/>
      <c r="D7418" s="709"/>
      <c r="E7418" s="711"/>
      <c r="F7418" s="713"/>
      <c r="G7418" s="715"/>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1016</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1833</v>
      </c>
      <c r="E7423" s="586"/>
      <c r="F7423" s="587" t="str">
        <f ca="1">"$/"&amp;G7357</f>
        <v>$/0</v>
      </c>
      <c r="G7423" s="537">
        <f>SUBTOTAL(9,G7380:G7422)</f>
        <v>0</v>
      </c>
    </row>
    <row r="7424" spans="1:7" ht="19.899999999999999" customHeight="1" x14ac:dyDescent="0.2">
      <c r="A7424" s="533"/>
      <c r="B7424" s="534"/>
      <c r="C7424" s="535"/>
      <c r="D7424" s="535" t="s">
        <v>2043</v>
      </c>
      <c r="E7424" s="536"/>
      <c r="F7424" s="589" t="str">
        <f ca="1">"$/"&amp;G7357</f>
        <v>$/0</v>
      </c>
      <c r="G7424" s="537">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16" t="s">
        <v>31</v>
      </c>
      <c r="B7426" s="717"/>
      <c r="C7426" s="717"/>
      <c r="D7426" s="717"/>
      <c r="E7426" s="717"/>
      <c r="F7426" s="717"/>
      <c r="G7426" s="718"/>
    </row>
    <row r="7427" spans="1:7" ht="19.899999999999999" customHeight="1" x14ac:dyDescent="0.2">
      <c r="A7427" s="516" t="s">
        <v>711</v>
      </c>
      <c r="B7427" s="467" t="str">
        <f>Comitente</f>
        <v>DIRECCIÓN PROVINCIAL DE VIALIDAD</v>
      </c>
      <c r="C7427" s="468"/>
      <c r="D7427" s="469"/>
      <c r="E7427" s="469"/>
      <c r="F7427" s="470"/>
      <c r="G7427" s="517"/>
    </row>
    <row r="7428" spans="1:7" ht="19.899999999999999" customHeight="1" x14ac:dyDescent="0.2">
      <c r="A7428" s="516" t="s">
        <v>712</v>
      </c>
      <c r="B7428" s="467">
        <f>Contratista</f>
        <v>0</v>
      </c>
      <c r="C7428" s="471"/>
      <c r="D7428" s="471"/>
      <c r="E7428" s="471"/>
      <c r="F7428" s="467"/>
      <c r="G7428" s="518"/>
    </row>
    <row r="7429" spans="1:7" ht="19.899999999999999" customHeight="1" x14ac:dyDescent="0.2">
      <c r="A7429" s="516" t="s">
        <v>21</v>
      </c>
      <c r="B7429" s="467" t="str">
        <f>Obra</f>
        <v>OBRA BÁSICA Y PAVIMENTACIÓN CALLE GÜEMES</v>
      </c>
      <c r="C7429" s="471"/>
      <c r="D7429" s="471"/>
      <c r="E7429" s="471"/>
      <c r="F7429" s="467" t="s">
        <v>32</v>
      </c>
      <c r="G7429" s="518">
        <f>Fecha_Base</f>
        <v>0</v>
      </c>
    </row>
    <row r="7430" spans="1:7" ht="19.899999999999999" customHeight="1" x14ac:dyDescent="0.2">
      <c r="A7430" s="519" t="s">
        <v>710</v>
      </c>
      <c r="B7430" s="472" t="str">
        <f>Ubicación</f>
        <v>Rawson - Santa Lucia</v>
      </c>
      <c r="C7430" s="472"/>
      <c r="D7430" s="473"/>
      <c r="E7430" s="474"/>
      <c r="F7430" s="475"/>
      <c r="G7430" s="520"/>
    </row>
    <row r="7431" spans="1:7" ht="19.899999999999999" customHeight="1" x14ac:dyDescent="0.2">
      <c r="A7431" s="519" t="s">
        <v>33</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22</v>
      </c>
      <c r="B7432" s="477" t="str">
        <f>IFERROR(VLOOKUP(COUNTIF($A$1:A7432,"ANALISIS DE PRECIOS"),T_NumeroItem,2,FALSE),"")</f>
        <v/>
      </c>
      <c r="C7432" s="719">
        <f ca="1">IFERROR(VLOOKUP(B7432,T_Computo_Presupuesto,2,FALSE),0)</f>
        <v>0</v>
      </c>
      <c r="D7432" s="719"/>
      <c r="E7432" s="719"/>
      <c r="F7432" s="472" t="s">
        <v>23</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999</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1000</v>
      </c>
      <c r="D7436" s="482" t="s">
        <v>24</v>
      </c>
      <c r="E7436" s="482" t="s">
        <v>1001</v>
      </c>
      <c r="F7436" s="482" t="s">
        <v>1002</v>
      </c>
      <c r="G7436" s="481" t="s">
        <v>1003</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1004</v>
      </c>
      <c r="D7448" s="472" t="s">
        <v>1001</v>
      </c>
      <c r="E7448" s="538">
        <f>SUMPRODUCT(D7437:D7446,E7437:E7446)</f>
        <v>0</v>
      </c>
      <c r="F7448" s="472" t="s">
        <v>1005</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1006</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06" t="s">
        <v>576</v>
      </c>
      <c r="B7452" s="707"/>
      <c r="C7452" s="708" t="s">
        <v>0</v>
      </c>
      <c r="D7452" s="720" t="s">
        <v>1866</v>
      </c>
      <c r="E7452" s="720" t="s">
        <v>1865</v>
      </c>
      <c r="F7452" s="712" t="s">
        <v>1007</v>
      </c>
      <c r="G7452" s="714" t="s">
        <v>26</v>
      </c>
    </row>
    <row r="7453" spans="1:7" ht="19.899999999999999" customHeight="1" x14ac:dyDescent="0.2">
      <c r="A7453" s="491" t="s">
        <v>577</v>
      </c>
      <c r="B7453" s="491" t="s">
        <v>578</v>
      </c>
      <c r="C7453" s="709"/>
      <c r="D7453" s="721"/>
      <c r="E7453" s="711"/>
      <c r="F7453" s="713"/>
      <c r="G7453" s="715"/>
    </row>
    <row r="7454" spans="1:7" ht="19.899999999999999" customHeight="1" x14ac:dyDescent="0.2">
      <c r="A7454" s="527"/>
      <c r="B7454" s="175"/>
      <c r="C7454" s="469" t="s">
        <v>1008</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27</v>
      </c>
      <c r="G7464" s="531">
        <f>SUBTOTAL(9,G7455:G7463)</f>
        <v>0</v>
      </c>
    </row>
    <row r="7465" spans="1:7" ht="19.899999999999999" customHeight="1" x14ac:dyDescent="0.2">
      <c r="A7465" s="527"/>
      <c r="B7465" s="175"/>
      <c r="C7465" s="469" t="s">
        <v>713</v>
      </c>
      <c r="D7465" s="473"/>
      <c r="E7465" s="474"/>
      <c r="F7465" s="475"/>
      <c r="G7465" s="528"/>
    </row>
    <row r="7466" spans="1:7" ht="19.899999999999999" customHeight="1" x14ac:dyDescent="0.2">
      <c r="A7466" s="706" t="s">
        <v>576</v>
      </c>
      <c r="B7466" s="707"/>
      <c r="C7466" s="708" t="s">
        <v>0</v>
      </c>
      <c r="D7466" s="710" t="s">
        <v>24</v>
      </c>
      <c r="E7466" s="710" t="s">
        <v>1832</v>
      </c>
      <c r="F7466" s="712" t="s">
        <v>1007</v>
      </c>
      <c r="G7466" s="714" t="s">
        <v>26</v>
      </c>
    </row>
    <row r="7467" spans="1:7" ht="19.899999999999999" customHeight="1" x14ac:dyDescent="0.2">
      <c r="A7467" s="491" t="s">
        <v>577</v>
      </c>
      <c r="B7467" s="491" t="s">
        <v>578</v>
      </c>
      <c r="C7467" s="709"/>
      <c r="D7467" s="711"/>
      <c r="E7467" s="711"/>
      <c r="F7467" s="713"/>
      <c r="G7467" s="715"/>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28</v>
      </c>
      <c r="G7475" s="532">
        <f>SUBTOTAL(9,G7468:G7474)</f>
        <v>0</v>
      </c>
    </row>
    <row r="7476" spans="1:7" ht="19.899999999999999" customHeight="1" x14ac:dyDescent="0.2">
      <c r="A7476" s="527"/>
      <c r="B7476" s="175"/>
      <c r="C7476" s="469" t="s">
        <v>1014</v>
      </c>
      <c r="D7476" s="473"/>
      <c r="E7476" s="474"/>
      <c r="F7476" s="475"/>
      <c r="G7476" s="528"/>
    </row>
    <row r="7477" spans="1:7" ht="19.899999999999999" customHeight="1" x14ac:dyDescent="0.2">
      <c r="A7477" s="706" t="s">
        <v>576</v>
      </c>
      <c r="B7477" s="707"/>
      <c r="C7477" s="708" t="s">
        <v>0</v>
      </c>
      <c r="D7477" s="708" t="s">
        <v>1867</v>
      </c>
      <c r="E7477" s="710" t="s">
        <v>24</v>
      </c>
      <c r="F7477" s="712" t="s">
        <v>25</v>
      </c>
      <c r="G7477" s="714" t="s">
        <v>26</v>
      </c>
    </row>
    <row r="7478" spans="1:7" ht="19.899999999999999" customHeight="1" x14ac:dyDescent="0.2">
      <c r="A7478" s="491" t="s">
        <v>577</v>
      </c>
      <c r="B7478" s="491" t="s">
        <v>578</v>
      </c>
      <c r="C7478" s="709"/>
      <c r="D7478" s="709"/>
      <c r="E7478" s="711"/>
      <c r="F7478" s="713"/>
      <c r="G7478" s="715"/>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29</v>
      </c>
      <c r="G7490" s="532">
        <f>SUBTOTAL(9,G7479:G7489)</f>
        <v>0</v>
      </c>
    </row>
    <row r="7491" spans="1:7" ht="19.899999999999999" customHeight="1" x14ac:dyDescent="0.2">
      <c r="A7491" s="527"/>
      <c r="B7491" s="175"/>
      <c r="C7491" s="469" t="s">
        <v>1015</v>
      </c>
      <c r="D7491" s="473"/>
      <c r="E7491" s="474"/>
      <c r="F7491" s="475"/>
      <c r="G7491" s="528"/>
    </row>
    <row r="7492" spans="1:7" ht="19.899999999999999" customHeight="1" x14ac:dyDescent="0.2">
      <c r="A7492" s="706" t="s">
        <v>576</v>
      </c>
      <c r="B7492" s="707"/>
      <c r="C7492" s="708" t="s">
        <v>0</v>
      </c>
      <c r="D7492" s="708" t="s">
        <v>1867</v>
      </c>
      <c r="E7492" s="710" t="s">
        <v>24</v>
      </c>
      <c r="F7492" s="712" t="s">
        <v>25</v>
      </c>
      <c r="G7492" s="714" t="s">
        <v>26</v>
      </c>
    </row>
    <row r="7493" spans="1:7" ht="19.899999999999999" customHeight="1" x14ac:dyDescent="0.2">
      <c r="A7493" s="491" t="s">
        <v>577</v>
      </c>
      <c r="B7493" s="491" t="s">
        <v>578</v>
      </c>
      <c r="C7493" s="709"/>
      <c r="D7493" s="709"/>
      <c r="E7493" s="711"/>
      <c r="F7493" s="713"/>
      <c r="G7493" s="715"/>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1016</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1833</v>
      </c>
      <c r="E7498" s="586"/>
      <c r="F7498" s="587" t="str">
        <f ca="1">"$/"&amp;G7432</f>
        <v>$/0</v>
      </c>
      <c r="G7498" s="537">
        <f>SUBTOTAL(9,G7455:G7497)</f>
        <v>0</v>
      </c>
    </row>
    <row r="7499" spans="1:7" ht="19.899999999999999" customHeight="1" x14ac:dyDescent="0.2">
      <c r="A7499" s="533"/>
      <c r="B7499" s="534"/>
      <c r="C7499" s="535"/>
      <c r="D7499" s="535" t="s">
        <v>2043</v>
      </c>
      <c r="E7499" s="536"/>
      <c r="F7499" s="589" t="str">
        <f ca="1">"$/"&amp;G7432</f>
        <v>$/0</v>
      </c>
      <c r="G7499" s="537">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16" t="s">
        <v>31</v>
      </c>
      <c r="B7501" s="717"/>
      <c r="C7501" s="717"/>
      <c r="D7501" s="717"/>
      <c r="E7501" s="717"/>
      <c r="F7501" s="717"/>
      <c r="G7501" s="718"/>
    </row>
    <row r="7502" spans="1:7" ht="19.899999999999999" customHeight="1" x14ac:dyDescent="0.2">
      <c r="A7502" s="516" t="s">
        <v>711</v>
      </c>
      <c r="B7502" s="467" t="str">
        <f>Comitente</f>
        <v>DIRECCIÓN PROVINCIAL DE VIALIDAD</v>
      </c>
      <c r="C7502" s="468"/>
      <c r="D7502" s="469"/>
      <c r="E7502" s="469"/>
      <c r="F7502" s="470"/>
      <c r="G7502" s="517"/>
    </row>
    <row r="7503" spans="1:7" ht="19.899999999999999" customHeight="1" x14ac:dyDescent="0.2">
      <c r="A7503" s="516" t="s">
        <v>712</v>
      </c>
      <c r="B7503" s="467">
        <f>Contratista</f>
        <v>0</v>
      </c>
      <c r="C7503" s="471"/>
      <c r="D7503" s="471"/>
      <c r="E7503" s="471"/>
      <c r="F7503" s="467"/>
      <c r="G7503" s="518"/>
    </row>
    <row r="7504" spans="1:7" ht="19.899999999999999" customHeight="1" x14ac:dyDescent="0.2">
      <c r="A7504" s="516" t="s">
        <v>21</v>
      </c>
      <c r="B7504" s="467" t="str">
        <f>Obra</f>
        <v>OBRA BÁSICA Y PAVIMENTACIÓN CALLE GÜEMES</v>
      </c>
      <c r="C7504" s="471"/>
      <c r="D7504" s="471"/>
      <c r="E7504" s="471"/>
      <c r="F7504" s="467" t="s">
        <v>32</v>
      </c>
      <c r="G7504" s="518">
        <f>Fecha_Base</f>
        <v>0</v>
      </c>
    </row>
    <row r="7505" spans="1:7" ht="19.899999999999999" customHeight="1" x14ac:dyDescent="0.2">
      <c r="A7505" s="519" t="s">
        <v>710</v>
      </c>
      <c r="B7505" s="472" t="str">
        <f>Ubicación</f>
        <v>Rawson - Santa Lucia</v>
      </c>
      <c r="C7505" s="472"/>
      <c r="D7505" s="473"/>
      <c r="E7505" s="474"/>
      <c r="F7505" s="475"/>
      <c r="G7505" s="520"/>
    </row>
    <row r="7506" spans="1:7" ht="19.899999999999999" customHeight="1" x14ac:dyDescent="0.2">
      <c r="A7506" s="519" t="s">
        <v>33</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22</v>
      </c>
      <c r="B7507" s="477" t="str">
        <f>IFERROR(VLOOKUP(COUNTIF($A$1:A7507,"ANALISIS DE PRECIOS"),T_NumeroItem,2,FALSE),"")</f>
        <v/>
      </c>
      <c r="C7507" s="719">
        <f ca="1">IFERROR(VLOOKUP(B7507,T_Computo_Presupuesto,2,FALSE),0)</f>
        <v>0</v>
      </c>
      <c r="D7507" s="719"/>
      <c r="E7507" s="719"/>
      <c r="F7507" s="472" t="s">
        <v>23</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999</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1000</v>
      </c>
      <c r="D7511" s="482" t="s">
        <v>24</v>
      </c>
      <c r="E7511" s="482" t="s">
        <v>1001</v>
      </c>
      <c r="F7511" s="482" t="s">
        <v>1002</v>
      </c>
      <c r="G7511" s="481" t="s">
        <v>1003</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1004</v>
      </c>
      <c r="D7523" s="472" t="s">
        <v>1001</v>
      </c>
      <c r="E7523" s="538">
        <f>SUMPRODUCT(D7512:D7521,E7512:E7521)</f>
        <v>0</v>
      </c>
      <c r="F7523" s="472" t="s">
        <v>1005</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1006</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06" t="s">
        <v>576</v>
      </c>
      <c r="B7527" s="707"/>
      <c r="C7527" s="708" t="s">
        <v>0</v>
      </c>
      <c r="D7527" s="720" t="s">
        <v>1866</v>
      </c>
      <c r="E7527" s="720" t="s">
        <v>1865</v>
      </c>
      <c r="F7527" s="712" t="s">
        <v>1007</v>
      </c>
      <c r="G7527" s="714" t="s">
        <v>26</v>
      </c>
    </row>
    <row r="7528" spans="1:7" ht="19.899999999999999" customHeight="1" x14ac:dyDescent="0.2">
      <c r="A7528" s="491" t="s">
        <v>577</v>
      </c>
      <c r="B7528" s="491" t="s">
        <v>578</v>
      </c>
      <c r="C7528" s="709"/>
      <c r="D7528" s="721"/>
      <c r="E7528" s="711"/>
      <c r="F7528" s="713"/>
      <c r="G7528" s="715"/>
    </row>
    <row r="7529" spans="1:7" ht="19.899999999999999" customHeight="1" x14ac:dyDescent="0.2">
      <c r="A7529" s="527"/>
      <c r="B7529" s="175"/>
      <c r="C7529" s="469" t="s">
        <v>1008</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27</v>
      </c>
      <c r="G7539" s="531">
        <f>SUBTOTAL(9,G7530:G7538)</f>
        <v>0</v>
      </c>
    </row>
    <row r="7540" spans="1:7" ht="19.899999999999999" customHeight="1" x14ac:dyDescent="0.2">
      <c r="A7540" s="527"/>
      <c r="B7540" s="175"/>
      <c r="C7540" s="469" t="s">
        <v>713</v>
      </c>
      <c r="D7540" s="473"/>
      <c r="E7540" s="474"/>
      <c r="F7540" s="475"/>
      <c r="G7540" s="528"/>
    </row>
    <row r="7541" spans="1:7" ht="19.899999999999999" customHeight="1" x14ac:dyDescent="0.2">
      <c r="A7541" s="706" t="s">
        <v>576</v>
      </c>
      <c r="B7541" s="707"/>
      <c r="C7541" s="708" t="s">
        <v>0</v>
      </c>
      <c r="D7541" s="710" t="s">
        <v>24</v>
      </c>
      <c r="E7541" s="710" t="s">
        <v>1832</v>
      </c>
      <c r="F7541" s="712" t="s">
        <v>1007</v>
      </c>
      <c r="G7541" s="714" t="s">
        <v>26</v>
      </c>
    </row>
    <row r="7542" spans="1:7" ht="19.899999999999999" customHeight="1" x14ac:dyDescent="0.2">
      <c r="A7542" s="491" t="s">
        <v>577</v>
      </c>
      <c r="B7542" s="491" t="s">
        <v>578</v>
      </c>
      <c r="C7542" s="709"/>
      <c r="D7542" s="711"/>
      <c r="E7542" s="711"/>
      <c r="F7542" s="713"/>
      <c r="G7542" s="715"/>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28</v>
      </c>
      <c r="G7550" s="532">
        <f>SUBTOTAL(9,G7543:G7549)</f>
        <v>0</v>
      </c>
    </row>
    <row r="7551" spans="1:7" ht="19.899999999999999" customHeight="1" x14ac:dyDescent="0.2">
      <c r="A7551" s="527"/>
      <c r="B7551" s="175"/>
      <c r="C7551" s="469" t="s">
        <v>1014</v>
      </c>
      <c r="D7551" s="473"/>
      <c r="E7551" s="474"/>
      <c r="F7551" s="475"/>
      <c r="G7551" s="528"/>
    </row>
    <row r="7552" spans="1:7" ht="19.899999999999999" customHeight="1" x14ac:dyDescent="0.2">
      <c r="A7552" s="706" t="s">
        <v>576</v>
      </c>
      <c r="B7552" s="707"/>
      <c r="C7552" s="708" t="s">
        <v>0</v>
      </c>
      <c r="D7552" s="708" t="s">
        <v>1867</v>
      </c>
      <c r="E7552" s="710" t="s">
        <v>24</v>
      </c>
      <c r="F7552" s="712" t="s">
        <v>25</v>
      </c>
      <c r="G7552" s="714" t="s">
        <v>26</v>
      </c>
    </row>
    <row r="7553" spans="1:7" ht="19.899999999999999" customHeight="1" x14ac:dyDescent="0.2">
      <c r="A7553" s="491" t="s">
        <v>577</v>
      </c>
      <c r="B7553" s="491" t="s">
        <v>578</v>
      </c>
      <c r="C7553" s="709"/>
      <c r="D7553" s="709"/>
      <c r="E7553" s="711"/>
      <c r="F7553" s="713"/>
      <c r="G7553" s="715"/>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29</v>
      </c>
      <c r="G7565" s="532">
        <f>SUBTOTAL(9,G7554:G7564)</f>
        <v>0</v>
      </c>
    </row>
    <row r="7566" spans="1:7" ht="19.899999999999999" customHeight="1" x14ac:dyDescent="0.2">
      <c r="A7566" s="527"/>
      <c r="B7566" s="175"/>
      <c r="C7566" s="469" t="s">
        <v>1015</v>
      </c>
      <c r="D7566" s="473"/>
      <c r="E7566" s="474"/>
      <c r="F7566" s="475"/>
      <c r="G7566" s="528"/>
    </row>
    <row r="7567" spans="1:7" ht="19.899999999999999" customHeight="1" x14ac:dyDescent="0.2">
      <c r="A7567" s="706" t="s">
        <v>576</v>
      </c>
      <c r="B7567" s="707"/>
      <c r="C7567" s="708" t="s">
        <v>0</v>
      </c>
      <c r="D7567" s="708" t="s">
        <v>1867</v>
      </c>
      <c r="E7567" s="710" t="s">
        <v>24</v>
      </c>
      <c r="F7567" s="712" t="s">
        <v>25</v>
      </c>
      <c r="G7567" s="714" t="s">
        <v>26</v>
      </c>
    </row>
    <row r="7568" spans="1:7" ht="19.899999999999999" customHeight="1" x14ac:dyDescent="0.2">
      <c r="A7568" s="491" t="s">
        <v>577</v>
      </c>
      <c r="B7568" s="491" t="s">
        <v>578</v>
      </c>
      <c r="C7568" s="709"/>
      <c r="D7568" s="709"/>
      <c r="E7568" s="711"/>
      <c r="F7568" s="713"/>
      <c r="G7568" s="715"/>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1016</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1833</v>
      </c>
      <c r="E7573" s="586"/>
      <c r="F7573" s="587" t="str">
        <f ca="1">"$/"&amp;G7507</f>
        <v>$/0</v>
      </c>
      <c r="G7573" s="537">
        <f>SUBTOTAL(9,G7530:G7572)</f>
        <v>0</v>
      </c>
    </row>
    <row r="7574" spans="1:7" ht="19.899999999999999" customHeight="1" x14ac:dyDescent="0.2">
      <c r="A7574" s="533"/>
      <c r="B7574" s="534"/>
      <c r="C7574" s="535"/>
      <c r="D7574" s="535" t="s">
        <v>2043</v>
      </c>
      <c r="E7574" s="536"/>
      <c r="F7574" s="589" t="str">
        <f ca="1">"$/"&amp;G7507</f>
        <v>$/0</v>
      </c>
      <c r="G7574" s="537">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16" t="s">
        <v>31</v>
      </c>
      <c r="B7576" s="717"/>
      <c r="C7576" s="717"/>
      <c r="D7576" s="717"/>
      <c r="E7576" s="717"/>
      <c r="F7576" s="717"/>
      <c r="G7576" s="718"/>
    </row>
    <row r="7577" spans="1:7" ht="19.899999999999999" customHeight="1" x14ac:dyDescent="0.2">
      <c r="A7577" s="516" t="s">
        <v>711</v>
      </c>
      <c r="B7577" s="467" t="str">
        <f>Comitente</f>
        <v>DIRECCIÓN PROVINCIAL DE VIALIDAD</v>
      </c>
      <c r="C7577" s="468"/>
      <c r="D7577" s="469"/>
      <c r="E7577" s="469"/>
      <c r="F7577" s="470"/>
      <c r="G7577" s="517"/>
    </row>
    <row r="7578" spans="1:7" ht="19.899999999999999" customHeight="1" x14ac:dyDescent="0.2">
      <c r="A7578" s="516" t="s">
        <v>712</v>
      </c>
      <c r="B7578" s="467">
        <f>Contratista</f>
        <v>0</v>
      </c>
      <c r="C7578" s="471"/>
      <c r="D7578" s="471"/>
      <c r="E7578" s="471"/>
      <c r="F7578" s="467"/>
      <c r="G7578" s="518"/>
    </row>
    <row r="7579" spans="1:7" ht="19.899999999999999" customHeight="1" x14ac:dyDescent="0.2">
      <c r="A7579" s="516" t="s">
        <v>21</v>
      </c>
      <c r="B7579" s="467" t="str">
        <f>Obra</f>
        <v>OBRA BÁSICA Y PAVIMENTACIÓN CALLE GÜEMES</v>
      </c>
      <c r="C7579" s="471"/>
      <c r="D7579" s="471"/>
      <c r="E7579" s="471"/>
      <c r="F7579" s="467" t="s">
        <v>32</v>
      </c>
      <c r="G7579" s="518">
        <f>Fecha_Base</f>
        <v>0</v>
      </c>
    </row>
    <row r="7580" spans="1:7" ht="19.899999999999999" customHeight="1" x14ac:dyDescent="0.2">
      <c r="A7580" s="519" t="s">
        <v>710</v>
      </c>
      <c r="B7580" s="472" t="str">
        <f>Ubicación</f>
        <v>Rawson - Santa Lucia</v>
      </c>
      <c r="C7580" s="472"/>
      <c r="D7580" s="473"/>
      <c r="E7580" s="474"/>
      <c r="F7580" s="475"/>
      <c r="G7580" s="520"/>
    </row>
    <row r="7581" spans="1:7" ht="19.899999999999999" customHeight="1" x14ac:dyDescent="0.2">
      <c r="A7581" s="519" t="s">
        <v>33</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22</v>
      </c>
      <c r="B7582" s="477" t="str">
        <f>IFERROR(VLOOKUP(COUNTIF($A$1:A7582,"ANALISIS DE PRECIOS"),T_NumeroItem,2,FALSE),"")</f>
        <v/>
      </c>
      <c r="C7582" s="719">
        <f ca="1">IFERROR(VLOOKUP(B7582,T_Computo_Presupuesto,2,FALSE),0)</f>
        <v>0</v>
      </c>
      <c r="D7582" s="719"/>
      <c r="E7582" s="719"/>
      <c r="F7582" s="472" t="s">
        <v>23</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999</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1000</v>
      </c>
      <c r="D7586" s="482" t="s">
        <v>24</v>
      </c>
      <c r="E7586" s="482" t="s">
        <v>1001</v>
      </c>
      <c r="F7586" s="482" t="s">
        <v>1002</v>
      </c>
      <c r="G7586" s="481" t="s">
        <v>1003</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1004</v>
      </c>
      <c r="D7598" s="472" t="s">
        <v>1001</v>
      </c>
      <c r="E7598" s="538">
        <f>SUMPRODUCT(D7587:D7596,E7587:E7596)</f>
        <v>0</v>
      </c>
      <c r="F7598" s="472" t="s">
        <v>1005</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1006</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06" t="s">
        <v>576</v>
      </c>
      <c r="B7602" s="707"/>
      <c r="C7602" s="708" t="s">
        <v>0</v>
      </c>
      <c r="D7602" s="720" t="s">
        <v>1866</v>
      </c>
      <c r="E7602" s="720" t="s">
        <v>1865</v>
      </c>
      <c r="F7602" s="712" t="s">
        <v>1007</v>
      </c>
      <c r="G7602" s="714" t="s">
        <v>26</v>
      </c>
    </row>
    <row r="7603" spans="1:7" ht="19.899999999999999" customHeight="1" x14ac:dyDescent="0.2">
      <c r="A7603" s="491" t="s">
        <v>577</v>
      </c>
      <c r="B7603" s="491" t="s">
        <v>578</v>
      </c>
      <c r="C7603" s="709"/>
      <c r="D7603" s="721"/>
      <c r="E7603" s="711"/>
      <c r="F7603" s="713"/>
      <c r="G7603" s="715"/>
    </row>
    <row r="7604" spans="1:7" ht="19.899999999999999" customHeight="1" x14ac:dyDescent="0.2">
      <c r="A7604" s="527"/>
      <c r="B7604" s="175"/>
      <c r="C7604" s="469" t="s">
        <v>1008</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27</v>
      </c>
      <c r="G7614" s="531">
        <f>SUBTOTAL(9,G7605:G7613)</f>
        <v>0</v>
      </c>
    </row>
    <row r="7615" spans="1:7" ht="19.899999999999999" customHeight="1" x14ac:dyDescent="0.2">
      <c r="A7615" s="527"/>
      <c r="B7615" s="175"/>
      <c r="C7615" s="469" t="s">
        <v>713</v>
      </c>
      <c r="D7615" s="473"/>
      <c r="E7615" s="474"/>
      <c r="F7615" s="475"/>
      <c r="G7615" s="528"/>
    </row>
    <row r="7616" spans="1:7" ht="19.899999999999999" customHeight="1" x14ac:dyDescent="0.2">
      <c r="A7616" s="706" t="s">
        <v>576</v>
      </c>
      <c r="B7616" s="707"/>
      <c r="C7616" s="708" t="s">
        <v>0</v>
      </c>
      <c r="D7616" s="710" t="s">
        <v>24</v>
      </c>
      <c r="E7616" s="710" t="s">
        <v>1832</v>
      </c>
      <c r="F7616" s="712" t="s">
        <v>1007</v>
      </c>
      <c r="G7616" s="714" t="s">
        <v>26</v>
      </c>
    </row>
    <row r="7617" spans="1:7" ht="19.899999999999999" customHeight="1" x14ac:dyDescent="0.2">
      <c r="A7617" s="491" t="s">
        <v>577</v>
      </c>
      <c r="B7617" s="491" t="s">
        <v>578</v>
      </c>
      <c r="C7617" s="709"/>
      <c r="D7617" s="711"/>
      <c r="E7617" s="711"/>
      <c r="F7617" s="713"/>
      <c r="G7617" s="715"/>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28</v>
      </c>
      <c r="G7625" s="532">
        <f>SUBTOTAL(9,G7618:G7624)</f>
        <v>0</v>
      </c>
    </row>
    <row r="7626" spans="1:7" ht="19.899999999999999" customHeight="1" x14ac:dyDescent="0.2">
      <c r="A7626" s="527"/>
      <c r="B7626" s="175"/>
      <c r="C7626" s="469" t="s">
        <v>1014</v>
      </c>
      <c r="D7626" s="473"/>
      <c r="E7626" s="474"/>
      <c r="F7626" s="475"/>
      <c r="G7626" s="528"/>
    </row>
    <row r="7627" spans="1:7" ht="19.899999999999999" customHeight="1" x14ac:dyDescent="0.2">
      <c r="A7627" s="706" t="s">
        <v>576</v>
      </c>
      <c r="B7627" s="707"/>
      <c r="C7627" s="708" t="s">
        <v>0</v>
      </c>
      <c r="D7627" s="708" t="s">
        <v>1867</v>
      </c>
      <c r="E7627" s="710" t="s">
        <v>24</v>
      </c>
      <c r="F7627" s="712" t="s">
        <v>25</v>
      </c>
      <c r="G7627" s="714" t="s">
        <v>26</v>
      </c>
    </row>
    <row r="7628" spans="1:7" ht="19.899999999999999" customHeight="1" x14ac:dyDescent="0.2">
      <c r="A7628" s="491" t="s">
        <v>577</v>
      </c>
      <c r="B7628" s="491" t="s">
        <v>578</v>
      </c>
      <c r="C7628" s="709"/>
      <c r="D7628" s="709"/>
      <c r="E7628" s="711"/>
      <c r="F7628" s="713"/>
      <c r="G7628" s="715"/>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29</v>
      </c>
      <c r="G7640" s="532">
        <f>SUBTOTAL(9,G7629:G7639)</f>
        <v>0</v>
      </c>
    </row>
    <row r="7641" spans="1:7" ht="19.899999999999999" customHeight="1" x14ac:dyDescent="0.2">
      <c r="A7641" s="527"/>
      <c r="B7641" s="175"/>
      <c r="C7641" s="469" t="s">
        <v>1015</v>
      </c>
      <c r="D7641" s="473"/>
      <c r="E7641" s="474"/>
      <c r="F7641" s="475"/>
      <c r="G7641" s="528"/>
    </row>
    <row r="7642" spans="1:7" ht="19.899999999999999" customHeight="1" x14ac:dyDescent="0.2">
      <c r="A7642" s="706" t="s">
        <v>576</v>
      </c>
      <c r="B7642" s="707"/>
      <c r="C7642" s="708" t="s">
        <v>0</v>
      </c>
      <c r="D7642" s="708" t="s">
        <v>1867</v>
      </c>
      <c r="E7642" s="710" t="s">
        <v>24</v>
      </c>
      <c r="F7642" s="712" t="s">
        <v>25</v>
      </c>
      <c r="G7642" s="714" t="s">
        <v>26</v>
      </c>
    </row>
    <row r="7643" spans="1:7" ht="19.899999999999999" customHeight="1" x14ac:dyDescent="0.2">
      <c r="A7643" s="491" t="s">
        <v>577</v>
      </c>
      <c r="B7643" s="491" t="s">
        <v>578</v>
      </c>
      <c r="C7643" s="709"/>
      <c r="D7643" s="709"/>
      <c r="E7643" s="711"/>
      <c r="F7643" s="713"/>
      <c r="G7643" s="715"/>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1016</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1833</v>
      </c>
      <c r="E7648" s="586"/>
      <c r="F7648" s="587" t="str">
        <f ca="1">"$/"&amp;G7582</f>
        <v>$/0</v>
      </c>
      <c r="G7648" s="537">
        <f>SUBTOTAL(9,G7605:G7647)</f>
        <v>0</v>
      </c>
    </row>
    <row r="7649" spans="1:7" ht="19.899999999999999" customHeight="1" x14ac:dyDescent="0.2">
      <c r="A7649" s="533"/>
      <c r="B7649" s="534"/>
      <c r="C7649" s="535"/>
      <c r="D7649" s="535" t="s">
        <v>2043</v>
      </c>
      <c r="E7649" s="536"/>
      <c r="F7649" s="589" t="str">
        <f ca="1">"$/"&amp;G7582</f>
        <v>$/0</v>
      </c>
      <c r="G7649" s="537">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16" t="s">
        <v>31</v>
      </c>
      <c r="B7651" s="717"/>
      <c r="C7651" s="717"/>
      <c r="D7651" s="717"/>
      <c r="E7651" s="717"/>
      <c r="F7651" s="717"/>
      <c r="G7651" s="718"/>
    </row>
    <row r="7652" spans="1:7" ht="19.899999999999999" customHeight="1" x14ac:dyDescent="0.2">
      <c r="A7652" s="516" t="s">
        <v>711</v>
      </c>
      <c r="B7652" s="467" t="str">
        <f>Comitente</f>
        <v>DIRECCIÓN PROVINCIAL DE VIALIDAD</v>
      </c>
      <c r="C7652" s="468"/>
      <c r="D7652" s="469"/>
      <c r="E7652" s="469"/>
      <c r="F7652" s="470"/>
      <c r="G7652" s="517"/>
    </row>
    <row r="7653" spans="1:7" ht="19.899999999999999" customHeight="1" x14ac:dyDescent="0.2">
      <c r="A7653" s="516" t="s">
        <v>712</v>
      </c>
      <c r="B7653" s="467">
        <f>Contratista</f>
        <v>0</v>
      </c>
      <c r="C7653" s="471"/>
      <c r="D7653" s="471"/>
      <c r="E7653" s="471"/>
      <c r="F7653" s="467"/>
      <c r="G7653" s="518"/>
    </row>
    <row r="7654" spans="1:7" ht="19.899999999999999" customHeight="1" x14ac:dyDescent="0.2">
      <c r="A7654" s="516" t="s">
        <v>21</v>
      </c>
      <c r="B7654" s="467" t="str">
        <f>Obra</f>
        <v>OBRA BÁSICA Y PAVIMENTACIÓN CALLE GÜEMES</v>
      </c>
      <c r="C7654" s="471"/>
      <c r="D7654" s="471"/>
      <c r="E7654" s="471"/>
      <c r="F7654" s="467" t="s">
        <v>32</v>
      </c>
      <c r="G7654" s="518">
        <f>Fecha_Base</f>
        <v>0</v>
      </c>
    </row>
    <row r="7655" spans="1:7" ht="19.899999999999999" customHeight="1" x14ac:dyDescent="0.2">
      <c r="A7655" s="519" t="s">
        <v>710</v>
      </c>
      <c r="B7655" s="472" t="str">
        <f>Ubicación</f>
        <v>Rawson - Santa Lucia</v>
      </c>
      <c r="C7655" s="472"/>
      <c r="D7655" s="473"/>
      <c r="E7655" s="474"/>
      <c r="F7655" s="475"/>
      <c r="G7655" s="520"/>
    </row>
    <row r="7656" spans="1:7" ht="19.899999999999999" customHeight="1" x14ac:dyDescent="0.2">
      <c r="A7656" s="519" t="s">
        <v>33</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22</v>
      </c>
      <c r="B7657" s="477" t="str">
        <f>IFERROR(VLOOKUP(COUNTIF($A$1:A7657,"ANALISIS DE PRECIOS"),T_NumeroItem,2,FALSE),"")</f>
        <v/>
      </c>
      <c r="C7657" s="719">
        <f ca="1">IFERROR(VLOOKUP(B7657,T_Computo_Presupuesto,2,FALSE),0)</f>
        <v>0</v>
      </c>
      <c r="D7657" s="719"/>
      <c r="E7657" s="719"/>
      <c r="F7657" s="472" t="s">
        <v>23</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999</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1000</v>
      </c>
      <c r="D7661" s="482" t="s">
        <v>24</v>
      </c>
      <c r="E7661" s="482" t="s">
        <v>1001</v>
      </c>
      <c r="F7661" s="482" t="s">
        <v>1002</v>
      </c>
      <c r="G7661" s="481" t="s">
        <v>1003</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1004</v>
      </c>
      <c r="D7673" s="472" t="s">
        <v>1001</v>
      </c>
      <c r="E7673" s="538">
        <f>SUMPRODUCT(D7662:D7671,E7662:E7671)</f>
        <v>0</v>
      </c>
      <c r="F7673" s="472" t="s">
        <v>1005</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1006</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06" t="s">
        <v>576</v>
      </c>
      <c r="B7677" s="707"/>
      <c r="C7677" s="708" t="s">
        <v>0</v>
      </c>
      <c r="D7677" s="720" t="s">
        <v>1866</v>
      </c>
      <c r="E7677" s="720" t="s">
        <v>1865</v>
      </c>
      <c r="F7677" s="712" t="s">
        <v>1007</v>
      </c>
      <c r="G7677" s="714" t="s">
        <v>26</v>
      </c>
    </row>
    <row r="7678" spans="1:7" ht="19.899999999999999" customHeight="1" x14ac:dyDescent="0.2">
      <c r="A7678" s="491" t="s">
        <v>577</v>
      </c>
      <c r="B7678" s="491" t="s">
        <v>578</v>
      </c>
      <c r="C7678" s="709"/>
      <c r="D7678" s="721"/>
      <c r="E7678" s="711"/>
      <c r="F7678" s="713"/>
      <c r="G7678" s="715"/>
    </row>
    <row r="7679" spans="1:7" ht="19.899999999999999" customHeight="1" x14ac:dyDescent="0.2">
      <c r="A7679" s="527"/>
      <c r="B7679" s="175"/>
      <c r="C7679" s="469" t="s">
        <v>1008</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27</v>
      </c>
      <c r="G7689" s="531">
        <f>SUBTOTAL(9,G7680:G7688)</f>
        <v>0</v>
      </c>
    </row>
    <row r="7690" spans="1:7" ht="19.899999999999999" customHeight="1" x14ac:dyDescent="0.2">
      <c r="A7690" s="527"/>
      <c r="B7690" s="175"/>
      <c r="C7690" s="469" t="s">
        <v>713</v>
      </c>
      <c r="D7690" s="473"/>
      <c r="E7690" s="474"/>
      <c r="F7690" s="475"/>
      <c r="G7690" s="528"/>
    </row>
    <row r="7691" spans="1:7" ht="19.899999999999999" customHeight="1" x14ac:dyDescent="0.2">
      <c r="A7691" s="706" t="s">
        <v>576</v>
      </c>
      <c r="B7691" s="707"/>
      <c r="C7691" s="708" t="s">
        <v>0</v>
      </c>
      <c r="D7691" s="710" t="s">
        <v>24</v>
      </c>
      <c r="E7691" s="710" t="s">
        <v>1832</v>
      </c>
      <c r="F7691" s="712" t="s">
        <v>1007</v>
      </c>
      <c r="G7691" s="714" t="s">
        <v>26</v>
      </c>
    </row>
    <row r="7692" spans="1:7" ht="19.899999999999999" customHeight="1" x14ac:dyDescent="0.2">
      <c r="A7692" s="491" t="s">
        <v>577</v>
      </c>
      <c r="B7692" s="491" t="s">
        <v>578</v>
      </c>
      <c r="C7692" s="709"/>
      <c r="D7692" s="711"/>
      <c r="E7692" s="711"/>
      <c r="F7692" s="713"/>
      <c r="G7692" s="715"/>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28</v>
      </c>
      <c r="G7700" s="532">
        <f>SUBTOTAL(9,G7693:G7699)</f>
        <v>0</v>
      </c>
    </row>
    <row r="7701" spans="1:7" ht="19.899999999999999" customHeight="1" x14ac:dyDescent="0.2">
      <c r="A7701" s="527"/>
      <c r="B7701" s="175"/>
      <c r="C7701" s="469" t="s">
        <v>1014</v>
      </c>
      <c r="D7701" s="473"/>
      <c r="E7701" s="474"/>
      <c r="F7701" s="475"/>
      <c r="G7701" s="528"/>
    </row>
    <row r="7702" spans="1:7" ht="19.899999999999999" customHeight="1" x14ac:dyDescent="0.2">
      <c r="A7702" s="706" t="s">
        <v>576</v>
      </c>
      <c r="B7702" s="707"/>
      <c r="C7702" s="708" t="s">
        <v>0</v>
      </c>
      <c r="D7702" s="708" t="s">
        <v>1867</v>
      </c>
      <c r="E7702" s="710" t="s">
        <v>24</v>
      </c>
      <c r="F7702" s="712" t="s">
        <v>25</v>
      </c>
      <c r="G7702" s="714" t="s">
        <v>26</v>
      </c>
    </row>
    <row r="7703" spans="1:7" ht="19.899999999999999" customHeight="1" x14ac:dyDescent="0.2">
      <c r="A7703" s="491" t="s">
        <v>577</v>
      </c>
      <c r="B7703" s="491" t="s">
        <v>578</v>
      </c>
      <c r="C7703" s="709"/>
      <c r="D7703" s="709"/>
      <c r="E7703" s="711"/>
      <c r="F7703" s="713"/>
      <c r="G7703" s="715"/>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29</v>
      </c>
      <c r="G7715" s="532">
        <f>SUBTOTAL(9,G7704:G7714)</f>
        <v>0</v>
      </c>
    </row>
    <row r="7716" spans="1:7" ht="19.899999999999999" customHeight="1" x14ac:dyDescent="0.2">
      <c r="A7716" s="527"/>
      <c r="B7716" s="175"/>
      <c r="C7716" s="469" t="s">
        <v>1015</v>
      </c>
      <c r="D7716" s="473"/>
      <c r="E7716" s="474"/>
      <c r="F7716" s="475"/>
      <c r="G7716" s="528"/>
    </row>
    <row r="7717" spans="1:7" ht="19.899999999999999" customHeight="1" x14ac:dyDescent="0.2">
      <c r="A7717" s="706" t="s">
        <v>576</v>
      </c>
      <c r="B7717" s="707"/>
      <c r="C7717" s="708" t="s">
        <v>0</v>
      </c>
      <c r="D7717" s="708" t="s">
        <v>1867</v>
      </c>
      <c r="E7717" s="710" t="s">
        <v>24</v>
      </c>
      <c r="F7717" s="712" t="s">
        <v>25</v>
      </c>
      <c r="G7717" s="714" t="s">
        <v>26</v>
      </c>
    </row>
    <row r="7718" spans="1:7" ht="19.899999999999999" customHeight="1" x14ac:dyDescent="0.2">
      <c r="A7718" s="491" t="s">
        <v>577</v>
      </c>
      <c r="B7718" s="491" t="s">
        <v>578</v>
      </c>
      <c r="C7718" s="709"/>
      <c r="D7718" s="709"/>
      <c r="E7718" s="711"/>
      <c r="F7718" s="713"/>
      <c r="G7718" s="715"/>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1016</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1833</v>
      </c>
      <c r="E7723" s="586"/>
      <c r="F7723" s="587" t="str">
        <f ca="1">"$/"&amp;G7657</f>
        <v>$/0</v>
      </c>
      <c r="G7723" s="537">
        <f>SUBTOTAL(9,G7680:G7722)</f>
        <v>0</v>
      </c>
    </row>
    <row r="7724" spans="1:7" ht="19.899999999999999" customHeight="1" x14ac:dyDescent="0.2">
      <c r="A7724" s="533"/>
      <c r="B7724" s="534"/>
      <c r="C7724" s="535"/>
      <c r="D7724" s="535" t="s">
        <v>2043</v>
      </c>
      <c r="E7724" s="536"/>
      <c r="F7724" s="589" t="str">
        <f ca="1">"$/"&amp;G7657</f>
        <v>$/0</v>
      </c>
      <c r="G7724" s="537">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16" t="s">
        <v>31</v>
      </c>
      <c r="B7726" s="717"/>
      <c r="C7726" s="717"/>
      <c r="D7726" s="717"/>
      <c r="E7726" s="717"/>
      <c r="F7726" s="717"/>
      <c r="G7726" s="718"/>
    </row>
    <row r="7727" spans="1:7" ht="19.899999999999999" customHeight="1" x14ac:dyDescent="0.2">
      <c r="A7727" s="516" t="s">
        <v>711</v>
      </c>
      <c r="B7727" s="467" t="str">
        <f>Comitente</f>
        <v>DIRECCIÓN PROVINCIAL DE VIALIDAD</v>
      </c>
      <c r="C7727" s="468"/>
      <c r="D7727" s="469"/>
      <c r="E7727" s="469"/>
      <c r="F7727" s="470"/>
      <c r="G7727" s="517"/>
    </row>
    <row r="7728" spans="1:7" ht="19.899999999999999" customHeight="1" x14ac:dyDescent="0.2">
      <c r="A7728" s="516" t="s">
        <v>712</v>
      </c>
      <c r="B7728" s="467">
        <f>Contratista</f>
        <v>0</v>
      </c>
      <c r="C7728" s="471"/>
      <c r="D7728" s="471"/>
      <c r="E7728" s="471"/>
      <c r="F7728" s="467"/>
      <c r="G7728" s="518"/>
    </row>
    <row r="7729" spans="1:7" ht="19.899999999999999" customHeight="1" x14ac:dyDescent="0.2">
      <c r="A7729" s="516" t="s">
        <v>21</v>
      </c>
      <c r="B7729" s="467" t="str">
        <f>Obra</f>
        <v>OBRA BÁSICA Y PAVIMENTACIÓN CALLE GÜEMES</v>
      </c>
      <c r="C7729" s="471"/>
      <c r="D7729" s="471"/>
      <c r="E7729" s="471"/>
      <c r="F7729" s="467" t="s">
        <v>32</v>
      </c>
      <c r="G7729" s="518">
        <f>Fecha_Base</f>
        <v>0</v>
      </c>
    </row>
    <row r="7730" spans="1:7" ht="19.899999999999999" customHeight="1" x14ac:dyDescent="0.2">
      <c r="A7730" s="519" t="s">
        <v>710</v>
      </c>
      <c r="B7730" s="472" t="str">
        <f>Ubicación</f>
        <v>Rawson - Santa Lucia</v>
      </c>
      <c r="C7730" s="472"/>
      <c r="D7730" s="473"/>
      <c r="E7730" s="474"/>
      <c r="F7730" s="475"/>
      <c r="G7730" s="520"/>
    </row>
    <row r="7731" spans="1:7" ht="19.899999999999999" customHeight="1" x14ac:dyDescent="0.2">
      <c r="A7731" s="519" t="s">
        <v>33</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22</v>
      </c>
      <c r="B7732" s="477" t="str">
        <f>IFERROR(VLOOKUP(COUNTIF($A$1:A7732,"ANALISIS DE PRECIOS"),T_NumeroItem,2,FALSE),"")</f>
        <v/>
      </c>
      <c r="C7732" s="719">
        <f ca="1">IFERROR(VLOOKUP(B7732,T_Computo_Presupuesto,2,FALSE),0)</f>
        <v>0</v>
      </c>
      <c r="D7732" s="719"/>
      <c r="E7732" s="719"/>
      <c r="F7732" s="472" t="s">
        <v>23</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999</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1000</v>
      </c>
      <c r="D7736" s="482" t="s">
        <v>24</v>
      </c>
      <c r="E7736" s="482" t="s">
        <v>1001</v>
      </c>
      <c r="F7736" s="482" t="s">
        <v>1002</v>
      </c>
      <c r="G7736" s="481" t="s">
        <v>1003</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1004</v>
      </c>
      <c r="D7748" s="472" t="s">
        <v>1001</v>
      </c>
      <c r="E7748" s="538">
        <f>SUMPRODUCT(D7737:D7746,E7737:E7746)</f>
        <v>0</v>
      </c>
      <c r="F7748" s="472" t="s">
        <v>1005</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1006</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06" t="s">
        <v>576</v>
      </c>
      <c r="B7752" s="707"/>
      <c r="C7752" s="708" t="s">
        <v>0</v>
      </c>
      <c r="D7752" s="720" t="s">
        <v>1866</v>
      </c>
      <c r="E7752" s="720" t="s">
        <v>1865</v>
      </c>
      <c r="F7752" s="712" t="s">
        <v>1007</v>
      </c>
      <c r="G7752" s="714" t="s">
        <v>26</v>
      </c>
    </row>
    <row r="7753" spans="1:7" ht="19.899999999999999" customHeight="1" x14ac:dyDescent="0.2">
      <c r="A7753" s="491" t="s">
        <v>577</v>
      </c>
      <c r="B7753" s="491" t="s">
        <v>578</v>
      </c>
      <c r="C7753" s="709"/>
      <c r="D7753" s="721"/>
      <c r="E7753" s="711"/>
      <c r="F7753" s="713"/>
      <c r="G7753" s="715"/>
    </row>
    <row r="7754" spans="1:7" ht="19.899999999999999" customHeight="1" x14ac:dyDescent="0.2">
      <c r="A7754" s="527"/>
      <c r="B7754" s="175"/>
      <c r="C7754" s="469" t="s">
        <v>1008</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27</v>
      </c>
      <c r="G7764" s="531">
        <f>SUBTOTAL(9,G7755:G7763)</f>
        <v>0</v>
      </c>
    </row>
    <row r="7765" spans="1:7" ht="19.899999999999999" customHeight="1" x14ac:dyDescent="0.2">
      <c r="A7765" s="527"/>
      <c r="B7765" s="175"/>
      <c r="C7765" s="469" t="s">
        <v>713</v>
      </c>
      <c r="D7765" s="473"/>
      <c r="E7765" s="474"/>
      <c r="F7765" s="475"/>
      <c r="G7765" s="528"/>
    </row>
    <row r="7766" spans="1:7" ht="19.899999999999999" customHeight="1" x14ac:dyDescent="0.2">
      <c r="A7766" s="706" t="s">
        <v>576</v>
      </c>
      <c r="B7766" s="707"/>
      <c r="C7766" s="708" t="s">
        <v>0</v>
      </c>
      <c r="D7766" s="710" t="s">
        <v>24</v>
      </c>
      <c r="E7766" s="710" t="s">
        <v>1832</v>
      </c>
      <c r="F7766" s="712" t="s">
        <v>1007</v>
      </c>
      <c r="G7766" s="714" t="s">
        <v>26</v>
      </c>
    </row>
    <row r="7767" spans="1:7" ht="19.899999999999999" customHeight="1" x14ac:dyDescent="0.2">
      <c r="A7767" s="491" t="s">
        <v>577</v>
      </c>
      <c r="B7767" s="491" t="s">
        <v>578</v>
      </c>
      <c r="C7767" s="709"/>
      <c r="D7767" s="711"/>
      <c r="E7767" s="711"/>
      <c r="F7767" s="713"/>
      <c r="G7767" s="715"/>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28</v>
      </c>
      <c r="G7775" s="532">
        <f>SUBTOTAL(9,G7768:G7774)</f>
        <v>0</v>
      </c>
    </row>
    <row r="7776" spans="1:7" ht="19.899999999999999" customHeight="1" x14ac:dyDescent="0.2">
      <c r="A7776" s="527"/>
      <c r="B7776" s="175"/>
      <c r="C7776" s="469" t="s">
        <v>1014</v>
      </c>
      <c r="D7776" s="473"/>
      <c r="E7776" s="474"/>
      <c r="F7776" s="475"/>
      <c r="G7776" s="528"/>
    </row>
    <row r="7777" spans="1:7" ht="19.899999999999999" customHeight="1" x14ac:dyDescent="0.2">
      <c r="A7777" s="706" t="s">
        <v>576</v>
      </c>
      <c r="B7777" s="707"/>
      <c r="C7777" s="708" t="s">
        <v>0</v>
      </c>
      <c r="D7777" s="708" t="s">
        <v>1867</v>
      </c>
      <c r="E7777" s="710" t="s">
        <v>24</v>
      </c>
      <c r="F7777" s="712" t="s">
        <v>25</v>
      </c>
      <c r="G7777" s="714" t="s">
        <v>26</v>
      </c>
    </row>
    <row r="7778" spans="1:7" ht="19.899999999999999" customHeight="1" x14ac:dyDescent="0.2">
      <c r="A7778" s="491" t="s">
        <v>577</v>
      </c>
      <c r="B7778" s="491" t="s">
        <v>578</v>
      </c>
      <c r="C7778" s="709"/>
      <c r="D7778" s="709"/>
      <c r="E7778" s="711"/>
      <c r="F7778" s="713"/>
      <c r="G7778" s="715"/>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29</v>
      </c>
      <c r="G7790" s="532">
        <f>SUBTOTAL(9,G7779:G7789)</f>
        <v>0</v>
      </c>
    </row>
    <row r="7791" spans="1:7" ht="19.899999999999999" customHeight="1" x14ac:dyDescent="0.2">
      <c r="A7791" s="527"/>
      <c r="B7791" s="175"/>
      <c r="C7791" s="469" t="s">
        <v>1015</v>
      </c>
      <c r="D7791" s="473"/>
      <c r="E7791" s="474"/>
      <c r="F7791" s="475"/>
      <c r="G7791" s="528"/>
    </row>
    <row r="7792" spans="1:7" ht="19.899999999999999" customHeight="1" x14ac:dyDescent="0.2">
      <c r="A7792" s="706" t="s">
        <v>576</v>
      </c>
      <c r="B7792" s="707"/>
      <c r="C7792" s="708" t="s">
        <v>0</v>
      </c>
      <c r="D7792" s="708" t="s">
        <v>1867</v>
      </c>
      <c r="E7792" s="710" t="s">
        <v>24</v>
      </c>
      <c r="F7792" s="712" t="s">
        <v>25</v>
      </c>
      <c r="G7792" s="714" t="s">
        <v>26</v>
      </c>
    </row>
    <row r="7793" spans="1:7" ht="19.899999999999999" customHeight="1" x14ac:dyDescent="0.2">
      <c r="A7793" s="491" t="s">
        <v>577</v>
      </c>
      <c r="B7793" s="491" t="s">
        <v>578</v>
      </c>
      <c r="C7793" s="709"/>
      <c r="D7793" s="709"/>
      <c r="E7793" s="711"/>
      <c r="F7793" s="713"/>
      <c r="G7793" s="715"/>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1016</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1833</v>
      </c>
      <c r="E7798" s="586"/>
      <c r="F7798" s="587" t="str">
        <f ca="1">"$/"&amp;G7732</f>
        <v>$/0</v>
      </c>
      <c r="G7798" s="537">
        <f>SUBTOTAL(9,G7755:G7797)</f>
        <v>0</v>
      </c>
    </row>
    <row r="7799" spans="1:7" ht="19.899999999999999" customHeight="1" x14ac:dyDescent="0.2">
      <c r="A7799" s="533"/>
      <c r="B7799" s="534"/>
      <c r="C7799" s="535"/>
      <c r="D7799" s="535" t="s">
        <v>2043</v>
      </c>
      <c r="E7799" s="536"/>
      <c r="F7799" s="589" t="str">
        <f ca="1">"$/"&amp;G7732</f>
        <v>$/0</v>
      </c>
      <c r="G7799" s="537">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16" t="s">
        <v>31</v>
      </c>
      <c r="B7801" s="717"/>
      <c r="C7801" s="717"/>
      <c r="D7801" s="717"/>
      <c r="E7801" s="717"/>
      <c r="F7801" s="717"/>
      <c r="G7801" s="718"/>
    </row>
    <row r="7802" spans="1:7" ht="19.899999999999999" customHeight="1" x14ac:dyDescent="0.2">
      <c r="A7802" s="516" t="s">
        <v>711</v>
      </c>
      <c r="B7802" s="467" t="str">
        <f>Comitente</f>
        <v>DIRECCIÓN PROVINCIAL DE VIALIDAD</v>
      </c>
      <c r="C7802" s="468"/>
      <c r="D7802" s="469"/>
      <c r="E7802" s="469"/>
      <c r="F7802" s="470"/>
      <c r="G7802" s="517"/>
    </row>
    <row r="7803" spans="1:7" ht="19.899999999999999" customHeight="1" x14ac:dyDescent="0.2">
      <c r="A7803" s="516" t="s">
        <v>712</v>
      </c>
      <c r="B7803" s="467">
        <f>Contratista</f>
        <v>0</v>
      </c>
      <c r="C7803" s="471"/>
      <c r="D7803" s="471"/>
      <c r="E7803" s="471"/>
      <c r="F7803" s="467"/>
      <c r="G7803" s="518"/>
    </row>
    <row r="7804" spans="1:7" ht="19.899999999999999" customHeight="1" x14ac:dyDescent="0.2">
      <c r="A7804" s="516" t="s">
        <v>21</v>
      </c>
      <c r="B7804" s="467" t="str">
        <f>Obra</f>
        <v>OBRA BÁSICA Y PAVIMENTACIÓN CALLE GÜEMES</v>
      </c>
      <c r="C7804" s="471"/>
      <c r="D7804" s="471"/>
      <c r="E7804" s="471"/>
      <c r="F7804" s="467" t="s">
        <v>32</v>
      </c>
      <c r="G7804" s="518">
        <f>Fecha_Base</f>
        <v>0</v>
      </c>
    </row>
    <row r="7805" spans="1:7" ht="19.899999999999999" customHeight="1" x14ac:dyDescent="0.2">
      <c r="A7805" s="519" t="s">
        <v>710</v>
      </c>
      <c r="B7805" s="472" t="str">
        <f>Ubicación</f>
        <v>Rawson - Santa Lucia</v>
      </c>
      <c r="C7805" s="472"/>
      <c r="D7805" s="473"/>
      <c r="E7805" s="474"/>
      <c r="F7805" s="475"/>
      <c r="G7805" s="520"/>
    </row>
    <row r="7806" spans="1:7" ht="19.899999999999999" customHeight="1" x14ac:dyDescent="0.2">
      <c r="A7806" s="519" t="s">
        <v>33</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22</v>
      </c>
      <c r="B7807" s="477" t="str">
        <f>IFERROR(VLOOKUP(COUNTIF($A$1:A7807,"ANALISIS DE PRECIOS"),T_NumeroItem,2,FALSE),"")</f>
        <v/>
      </c>
      <c r="C7807" s="719">
        <f ca="1">IFERROR(VLOOKUP(B7807,T_Computo_Presupuesto,2,FALSE),0)</f>
        <v>0</v>
      </c>
      <c r="D7807" s="719"/>
      <c r="E7807" s="719"/>
      <c r="F7807" s="472" t="s">
        <v>23</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999</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1000</v>
      </c>
      <c r="D7811" s="482" t="s">
        <v>24</v>
      </c>
      <c r="E7811" s="482" t="s">
        <v>1001</v>
      </c>
      <c r="F7811" s="482" t="s">
        <v>1002</v>
      </c>
      <c r="G7811" s="481" t="s">
        <v>1003</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1004</v>
      </c>
      <c r="D7823" s="472" t="s">
        <v>1001</v>
      </c>
      <c r="E7823" s="538">
        <f>SUMPRODUCT(D7812:D7821,E7812:E7821)</f>
        <v>0</v>
      </c>
      <c r="F7823" s="472" t="s">
        <v>1005</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1006</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06" t="s">
        <v>576</v>
      </c>
      <c r="B7827" s="707"/>
      <c r="C7827" s="708" t="s">
        <v>0</v>
      </c>
      <c r="D7827" s="720" t="s">
        <v>1866</v>
      </c>
      <c r="E7827" s="720" t="s">
        <v>1865</v>
      </c>
      <c r="F7827" s="712" t="s">
        <v>1007</v>
      </c>
      <c r="G7827" s="714" t="s">
        <v>26</v>
      </c>
    </row>
    <row r="7828" spans="1:7" ht="19.899999999999999" customHeight="1" x14ac:dyDescent="0.2">
      <c r="A7828" s="491" t="s">
        <v>577</v>
      </c>
      <c r="B7828" s="491" t="s">
        <v>578</v>
      </c>
      <c r="C7828" s="709"/>
      <c r="D7828" s="721"/>
      <c r="E7828" s="711"/>
      <c r="F7828" s="713"/>
      <c r="G7828" s="715"/>
    </row>
    <row r="7829" spans="1:7" ht="19.899999999999999" customHeight="1" x14ac:dyDescent="0.2">
      <c r="A7829" s="527"/>
      <c r="B7829" s="175"/>
      <c r="C7829" s="469" t="s">
        <v>1008</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27</v>
      </c>
      <c r="G7839" s="531">
        <f>SUBTOTAL(9,G7830:G7838)</f>
        <v>0</v>
      </c>
    </row>
    <row r="7840" spans="1:7" ht="19.899999999999999" customHeight="1" x14ac:dyDescent="0.2">
      <c r="A7840" s="527"/>
      <c r="B7840" s="175"/>
      <c r="C7840" s="469" t="s">
        <v>713</v>
      </c>
      <c r="D7840" s="473"/>
      <c r="E7840" s="474"/>
      <c r="F7840" s="475"/>
      <c r="G7840" s="528"/>
    </row>
    <row r="7841" spans="1:7" ht="19.899999999999999" customHeight="1" x14ac:dyDescent="0.2">
      <c r="A7841" s="706" t="s">
        <v>576</v>
      </c>
      <c r="B7841" s="707"/>
      <c r="C7841" s="708" t="s">
        <v>0</v>
      </c>
      <c r="D7841" s="710" t="s">
        <v>24</v>
      </c>
      <c r="E7841" s="710" t="s">
        <v>1832</v>
      </c>
      <c r="F7841" s="712" t="s">
        <v>1007</v>
      </c>
      <c r="G7841" s="714" t="s">
        <v>26</v>
      </c>
    </row>
    <row r="7842" spans="1:7" ht="19.899999999999999" customHeight="1" x14ac:dyDescent="0.2">
      <c r="A7842" s="491" t="s">
        <v>577</v>
      </c>
      <c r="B7842" s="491" t="s">
        <v>578</v>
      </c>
      <c r="C7842" s="709"/>
      <c r="D7842" s="711"/>
      <c r="E7842" s="711"/>
      <c r="F7842" s="713"/>
      <c r="G7842" s="715"/>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28</v>
      </c>
      <c r="G7850" s="532">
        <f>SUBTOTAL(9,G7843:G7849)</f>
        <v>0</v>
      </c>
    </row>
    <row r="7851" spans="1:7" ht="19.899999999999999" customHeight="1" x14ac:dyDescent="0.2">
      <c r="A7851" s="527"/>
      <c r="B7851" s="175"/>
      <c r="C7851" s="469" t="s">
        <v>1014</v>
      </c>
      <c r="D7851" s="473"/>
      <c r="E7851" s="474"/>
      <c r="F7851" s="475"/>
      <c r="G7851" s="528"/>
    </row>
    <row r="7852" spans="1:7" ht="19.899999999999999" customHeight="1" x14ac:dyDescent="0.2">
      <c r="A7852" s="706" t="s">
        <v>576</v>
      </c>
      <c r="B7852" s="707"/>
      <c r="C7852" s="708" t="s">
        <v>0</v>
      </c>
      <c r="D7852" s="708" t="s">
        <v>1867</v>
      </c>
      <c r="E7852" s="710" t="s">
        <v>24</v>
      </c>
      <c r="F7852" s="712" t="s">
        <v>25</v>
      </c>
      <c r="G7852" s="714" t="s">
        <v>26</v>
      </c>
    </row>
    <row r="7853" spans="1:7" ht="19.899999999999999" customHeight="1" x14ac:dyDescent="0.2">
      <c r="A7853" s="491" t="s">
        <v>577</v>
      </c>
      <c r="B7853" s="491" t="s">
        <v>578</v>
      </c>
      <c r="C7853" s="709"/>
      <c r="D7853" s="709"/>
      <c r="E7853" s="711"/>
      <c r="F7853" s="713"/>
      <c r="G7853" s="715"/>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29</v>
      </c>
      <c r="G7865" s="532">
        <f>SUBTOTAL(9,G7854:G7864)</f>
        <v>0</v>
      </c>
    </row>
    <row r="7866" spans="1:7" ht="19.899999999999999" customHeight="1" x14ac:dyDescent="0.2">
      <c r="A7866" s="527"/>
      <c r="B7866" s="175"/>
      <c r="C7866" s="469" t="s">
        <v>1015</v>
      </c>
      <c r="D7866" s="473"/>
      <c r="E7866" s="474"/>
      <c r="F7866" s="475"/>
      <c r="G7866" s="528"/>
    </row>
    <row r="7867" spans="1:7" ht="19.899999999999999" customHeight="1" x14ac:dyDescent="0.2">
      <c r="A7867" s="706" t="s">
        <v>576</v>
      </c>
      <c r="B7867" s="707"/>
      <c r="C7867" s="708" t="s">
        <v>0</v>
      </c>
      <c r="D7867" s="708" t="s">
        <v>1867</v>
      </c>
      <c r="E7867" s="710" t="s">
        <v>24</v>
      </c>
      <c r="F7867" s="712" t="s">
        <v>25</v>
      </c>
      <c r="G7867" s="714" t="s">
        <v>26</v>
      </c>
    </row>
    <row r="7868" spans="1:7" ht="19.899999999999999" customHeight="1" x14ac:dyDescent="0.2">
      <c r="A7868" s="491" t="s">
        <v>577</v>
      </c>
      <c r="B7868" s="491" t="s">
        <v>578</v>
      </c>
      <c r="C7868" s="709"/>
      <c r="D7868" s="709"/>
      <c r="E7868" s="711"/>
      <c r="F7868" s="713"/>
      <c r="G7868" s="715"/>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1016</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1833</v>
      </c>
      <c r="E7873" s="586"/>
      <c r="F7873" s="587" t="str">
        <f ca="1">"$/"&amp;G7807</f>
        <v>$/0</v>
      </c>
      <c r="G7873" s="537">
        <f>SUBTOTAL(9,G7830:G7872)</f>
        <v>0</v>
      </c>
    </row>
    <row r="7874" spans="1:7" ht="19.899999999999999" customHeight="1" x14ac:dyDescent="0.2">
      <c r="A7874" s="533"/>
      <c r="B7874" s="534"/>
      <c r="C7874" s="535"/>
      <c r="D7874" s="535" t="s">
        <v>2043</v>
      </c>
      <c r="E7874" s="536"/>
      <c r="F7874" s="589" t="str">
        <f ca="1">"$/"&amp;G7807</f>
        <v>$/0</v>
      </c>
      <c r="G7874" s="537">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16" t="s">
        <v>31</v>
      </c>
      <c r="B7876" s="717"/>
      <c r="C7876" s="717"/>
      <c r="D7876" s="717"/>
      <c r="E7876" s="717"/>
      <c r="F7876" s="717"/>
      <c r="G7876" s="718"/>
    </row>
    <row r="7877" spans="1:7" ht="19.899999999999999" customHeight="1" x14ac:dyDescent="0.2">
      <c r="A7877" s="516" t="s">
        <v>711</v>
      </c>
      <c r="B7877" s="467" t="str">
        <f>Comitente</f>
        <v>DIRECCIÓN PROVINCIAL DE VIALIDAD</v>
      </c>
      <c r="C7877" s="468"/>
      <c r="D7877" s="469"/>
      <c r="E7877" s="469"/>
      <c r="F7877" s="470"/>
      <c r="G7877" s="517"/>
    </row>
    <row r="7878" spans="1:7" ht="19.899999999999999" customHeight="1" x14ac:dyDescent="0.2">
      <c r="A7878" s="516" t="s">
        <v>712</v>
      </c>
      <c r="B7878" s="467">
        <f>Contratista</f>
        <v>0</v>
      </c>
      <c r="C7878" s="471"/>
      <c r="D7878" s="471"/>
      <c r="E7878" s="471"/>
      <c r="F7878" s="467"/>
      <c r="G7878" s="518"/>
    </row>
    <row r="7879" spans="1:7" ht="19.899999999999999" customHeight="1" x14ac:dyDescent="0.2">
      <c r="A7879" s="516" t="s">
        <v>21</v>
      </c>
      <c r="B7879" s="467" t="str">
        <f>Obra</f>
        <v>OBRA BÁSICA Y PAVIMENTACIÓN CALLE GÜEMES</v>
      </c>
      <c r="C7879" s="471"/>
      <c r="D7879" s="471"/>
      <c r="E7879" s="471"/>
      <c r="F7879" s="467" t="s">
        <v>32</v>
      </c>
      <c r="G7879" s="518">
        <f>Fecha_Base</f>
        <v>0</v>
      </c>
    </row>
    <row r="7880" spans="1:7" ht="19.899999999999999" customHeight="1" x14ac:dyDescent="0.2">
      <c r="A7880" s="519" t="s">
        <v>710</v>
      </c>
      <c r="B7880" s="472" t="str">
        <f>Ubicación</f>
        <v>Rawson - Santa Lucia</v>
      </c>
      <c r="C7880" s="472"/>
      <c r="D7880" s="473"/>
      <c r="E7880" s="474"/>
      <c r="F7880" s="475"/>
      <c r="G7880" s="520"/>
    </row>
    <row r="7881" spans="1:7" ht="19.899999999999999" customHeight="1" x14ac:dyDescent="0.2">
      <c r="A7881" s="519" t="s">
        <v>33</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22</v>
      </c>
      <c r="B7882" s="477" t="str">
        <f>IFERROR(VLOOKUP(COUNTIF($A$1:A7882,"ANALISIS DE PRECIOS"),T_NumeroItem,2,FALSE),"")</f>
        <v/>
      </c>
      <c r="C7882" s="719">
        <f ca="1">IFERROR(VLOOKUP(B7882,T_Computo_Presupuesto,2,FALSE),0)</f>
        <v>0</v>
      </c>
      <c r="D7882" s="719"/>
      <c r="E7882" s="719"/>
      <c r="F7882" s="472" t="s">
        <v>23</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999</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1000</v>
      </c>
      <c r="D7886" s="482" t="s">
        <v>24</v>
      </c>
      <c r="E7886" s="482" t="s">
        <v>1001</v>
      </c>
      <c r="F7886" s="482" t="s">
        <v>1002</v>
      </c>
      <c r="G7886" s="481" t="s">
        <v>1003</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1004</v>
      </c>
      <c r="D7898" s="472" t="s">
        <v>1001</v>
      </c>
      <c r="E7898" s="538">
        <f>SUMPRODUCT(D7887:D7896,E7887:E7896)</f>
        <v>0</v>
      </c>
      <c r="F7898" s="472" t="s">
        <v>1005</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1006</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06" t="s">
        <v>576</v>
      </c>
      <c r="B7902" s="707"/>
      <c r="C7902" s="708" t="s">
        <v>0</v>
      </c>
      <c r="D7902" s="720" t="s">
        <v>1866</v>
      </c>
      <c r="E7902" s="720" t="s">
        <v>1865</v>
      </c>
      <c r="F7902" s="712" t="s">
        <v>1007</v>
      </c>
      <c r="G7902" s="714" t="s">
        <v>26</v>
      </c>
    </row>
    <row r="7903" spans="1:7" ht="19.899999999999999" customHeight="1" x14ac:dyDescent="0.2">
      <c r="A7903" s="491" t="s">
        <v>577</v>
      </c>
      <c r="B7903" s="491" t="s">
        <v>578</v>
      </c>
      <c r="C7903" s="709"/>
      <c r="D7903" s="721"/>
      <c r="E7903" s="711"/>
      <c r="F7903" s="713"/>
      <c r="G7903" s="715"/>
    </row>
    <row r="7904" spans="1:7" ht="19.899999999999999" customHeight="1" x14ac:dyDescent="0.2">
      <c r="A7904" s="527"/>
      <c r="B7904" s="175"/>
      <c r="C7904" s="469" t="s">
        <v>1008</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27</v>
      </c>
      <c r="G7914" s="531">
        <f>SUBTOTAL(9,G7905:G7913)</f>
        <v>0</v>
      </c>
    </row>
    <row r="7915" spans="1:7" ht="19.899999999999999" customHeight="1" x14ac:dyDescent="0.2">
      <c r="A7915" s="527"/>
      <c r="B7915" s="175"/>
      <c r="C7915" s="469" t="s">
        <v>713</v>
      </c>
      <c r="D7915" s="473"/>
      <c r="E7915" s="474"/>
      <c r="F7915" s="475"/>
      <c r="G7915" s="528"/>
    </row>
    <row r="7916" spans="1:7" ht="19.899999999999999" customHeight="1" x14ac:dyDescent="0.2">
      <c r="A7916" s="706" t="s">
        <v>576</v>
      </c>
      <c r="B7916" s="707"/>
      <c r="C7916" s="708" t="s">
        <v>0</v>
      </c>
      <c r="D7916" s="710" t="s">
        <v>24</v>
      </c>
      <c r="E7916" s="710" t="s">
        <v>1832</v>
      </c>
      <c r="F7916" s="712" t="s">
        <v>1007</v>
      </c>
      <c r="G7916" s="714" t="s">
        <v>26</v>
      </c>
    </row>
    <row r="7917" spans="1:7" ht="19.899999999999999" customHeight="1" x14ac:dyDescent="0.2">
      <c r="A7917" s="491" t="s">
        <v>577</v>
      </c>
      <c r="B7917" s="491" t="s">
        <v>578</v>
      </c>
      <c r="C7917" s="709"/>
      <c r="D7917" s="711"/>
      <c r="E7917" s="711"/>
      <c r="F7917" s="713"/>
      <c r="G7917" s="715"/>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28</v>
      </c>
      <c r="G7925" s="532">
        <f>SUBTOTAL(9,G7918:G7924)</f>
        <v>0</v>
      </c>
    </row>
    <row r="7926" spans="1:7" ht="19.899999999999999" customHeight="1" x14ac:dyDescent="0.2">
      <c r="A7926" s="527"/>
      <c r="B7926" s="175"/>
      <c r="C7926" s="469" t="s">
        <v>1014</v>
      </c>
      <c r="D7926" s="473"/>
      <c r="E7926" s="474"/>
      <c r="F7926" s="475"/>
      <c r="G7926" s="528"/>
    </row>
    <row r="7927" spans="1:7" ht="19.899999999999999" customHeight="1" x14ac:dyDescent="0.2">
      <c r="A7927" s="706" t="s">
        <v>576</v>
      </c>
      <c r="B7927" s="707"/>
      <c r="C7927" s="708" t="s">
        <v>0</v>
      </c>
      <c r="D7927" s="708" t="s">
        <v>1867</v>
      </c>
      <c r="E7927" s="710" t="s">
        <v>24</v>
      </c>
      <c r="F7927" s="712" t="s">
        <v>25</v>
      </c>
      <c r="G7927" s="714" t="s">
        <v>26</v>
      </c>
    </row>
    <row r="7928" spans="1:7" ht="19.899999999999999" customHeight="1" x14ac:dyDescent="0.2">
      <c r="A7928" s="491" t="s">
        <v>577</v>
      </c>
      <c r="B7928" s="491" t="s">
        <v>578</v>
      </c>
      <c r="C7928" s="709"/>
      <c r="D7928" s="709"/>
      <c r="E7928" s="711"/>
      <c r="F7928" s="713"/>
      <c r="G7928" s="715"/>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29</v>
      </c>
      <c r="G7940" s="532">
        <f>SUBTOTAL(9,G7929:G7939)</f>
        <v>0</v>
      </c>
    </row>
    <row r="7941" spans="1:7" ht="19.899999999999999" customHeight="1" x14ac:dyDescent="0.2">
      <c r="A7941" s="527"/>
      <c r="B7941" s="175"/>
      <c r="C7941" s="469" t="s">
        <v>1015</v>
      </c>
      <c r="D7941" s="473"/>
      <c r="E7941" s="474"/>
      <c r="F7941" s="475"/>
      <c r="G7941" s="528"/>
    </row>
    <row r="7942" spans="1:7" ht="19.899999999999999" customHeight="1" x14ac:dyDescent="0.2">
      <c r="A7942" s="706" t="s">
        <v>576</v>
      </c>
      <c r="B7942" s="707"/>
      <c r="C7942" s="708" t="s">
        <v>0</v>
      </c>
      <c r="D7942" s="708" t="s">
        <v>1867</v>
      </c>
      <c r="E7942" s="710" t="s">
        <v>24</v>
      </c>
      <c r="F7942" s="712" t="s">
        <v>25</v>
      </c>
      <c r="G7942" s="714" t="s">
        <v>26</v>
      </c>
    </row>
    <row r="7943" spans="1:7" ht="19.899999999999999" customHeight="1" x14ac:dyDescent="0.2">
      <c r="A7943" s="491" t="s">
        <v>577</v>
      </c>
      <c r="B7943" s="491" t="s">
        <v>578</v>
      </c>
      <c r="C7943" s="709"/>
      <c r="D7943" s="709"/>
      <c r="E7943" s="711"/>
      <c r="F7943" s="713"/>
      <c r="G7943" s="715"/>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1016</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1833</v>
      </c>
      <c r="E7948" s="586"/>
      <c r="F7948" s="587" t="str">
        <f ca="1">"$/"&amp;G7882</f>
        <v>$/0</v>
      </c>
      <c r="G7948" s="537">
        <f>SUBTOTAL(9,G7905:G7947)</f>
        <v>0</v>
      </c>
    </row>
    <row r="7949" spans="1:7" ht="19.899999999999999" customHeight="1" x14ac:dyDescent="0.2">
      <c r="A7949" s="533"/>
      <c r="B7949" s="534"/>
      <c r="C7949" s="535"/>
      <c r="D7949" s="535" t="s">
        <v>2043</v>
      </c>
      <c r="E7949" s="536"/>
      <c r="F7949" s="589" t="str">
        <f ca="1">"$/"&amp;G7882</f>
        <v>$/0</v>
      </c>
      <c r="G7949" s="537">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16" t="s">
        <v>31</v>
      </c>
      <c r="B7951" s="717"/>
      <c r="C7951" s="717"/>
      <c r="D7951" s="717"/>
      <c r="E7951" s="717"/>
      <c r="F7951" s="717"/>
      <c r="G7951" s="718"/>
    </row>
    <row r="7952" spans="1:7" ht="19.899999999999999" customHeight="1" x14ac:dyDescent="0.2">
      <c r="A7952" s="516" t="s">
        <v>711</v>
      </c>
      <c r="B7952" s="467" t="str">
        <f>Comitente</f>
        <v>DIRECCIÓN PROVINCIAL DE VIALIDAD</v>
      </c>
      <c r="C7952" s="468"/>
      <c r="D7952" s="469"/>
      <c r="E7952" s="469"/>
      <c r="F7952" s="470"/>
      <c r="G7952" s="517"/>
    </row>
    <row r="7953" spans="1:7" ht="19.899999999999999" customHeight="1" x14ac:dyDescent="0.2">
      <c r="A7953" s="516" t="s">
        <v>712</v>
      </c>
      <c r="B7953" s="467">
        <f>Contratista</f>
        <v>0</v>
      </c>
      <c r="C7953" s="471"/>
      <c r="D7953" s="471"/>
      <c r="E7953" s="471"/>
      <c r="F7953" s="467"/>
      <c r="G7953" s="518"/>
    </row>
    <row r="7954" spans="1:7" ht="19.899999999999999" customHeight="1" x14ac:dyDescent="0.2">
      <c r="A7954" s="516" t="s">
        <v>21</v>
      </c>
      <c r="B7954" s="467" t="str">
        <f>Obra</f>
        <v>OBRA BÁSICA Y PAVIMENTACIÓN CALLE GÜEMES</v>
      </c>
      <c r="C7954" s="471"/>
      <c r="D7954" s="471"/>
      <c r="E7954" s="471"/>
      <c r="F7954" s="467" t="s">
        <v>32</v>
      </c>
      <c r="G7954" s="518">
        <f>Fecha_Base</f>
        <v>0</v>
      </c>
    </row>
    <row r="7955" spans="1:7" ht="19.899999999999999" customHeight="1" x14ac:dyDescent="0.2">
      <c r="A7955" s="519" t="s">
        <v>710</v>
      </c>
      <c r="B7955" s="472" t="str">
        <f>Ubicación</f>
        <v>Rawson - Santa Lucia</v>
      </c>
      <c r="C7955" s="472"/>
      <c r="D7955" s="473"/>
      <c r="E7955" s="474"/>
      <c r="F7955" s="475"/>
      <c r="G7955" s="520"/>
    </row>
    <row r="7956" spans="1:7" ht="19.899999999999999" customHeight="1" x14ac:dyDescent="0.2">
      <c r="A7956" s="519" t="s">
        <v>33</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22</v>
      </c>
      <c r="B7957" s="477" t="str">
        <f>IFERROR(VLOOKUP(COUNTIF($A$1:A7957,"ANALISIS DE PRECIOS"),T_NumeroItem,2,FALSE),"")</f>
        <v/>
      </c>
      <c r="C7957" s="719">
        <f ca="1">IFERROR(VLOOKUP(B7957,T_Computo_Presupuesto,2,FALSE),0)</f>
        <v>0</v>
      </c>
      <c r="D7957" s="719"/>
      <c r="E7957" s="719"/>
      <c r="F7957" s="472" t="s">
        <v>23</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999</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1000</v>
      </c>
      <c r="D7961" s="482" t="s">
        <v>24</v>
      </c>
      <c r="E7961" s="482" t="s">
        <v>1001</v>
      </c>
      <c r="F7961" s="482" t="s">
        <v>1002</v>
      </c>
      <c r="G7961" s="481" t="s">
        <v>1003</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1004</v>
      </c>
      <c r="D7973" s="472" t="s">
        <v>1001</v>
      </c>
      <c r="E7973" s="538">
        <f>SUMPRODUCT(D7962:D7971,E7962:E7971)</f>
        <v>0</v>
      </c>
      <c r="F7973" s="472" t="s">
        <v>1005</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1006</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06" t="s">
        <v>576</v>
      </c>
      <c r="B7977" s="707"/>
      <c r="C7977" s="708" t="s">
        <v>0</v>
      </c>
      <c r="D7977" s="720" t="s">
        <v>1866</v>
      </c>
      <c r="E7977" s="720" t="s">
        <v>1865</v>
      </c>
      <c r="F7977" s="712" t="s">
        <v>1007</v>
      </c>
      <c r="G7977" s="714" t="s">
        <v>26</v>
      </c>
    </row>
    <row r="7978" spans="1:7" ht="19.899999999999999" customHeight="1" x14ac:dyDescent="0.2">
      <c r="A7978" s="491" t="s">
        <v>577</v>
      </c>
      <c r="B7978" s="491" t="s">
        <v>578</v>
      </c>
      <c r="C7978" s="709"/>
      <c r="D7978" s="721"/>
      <c r="E7978" s="711"/>
      <c r="F7978" s="713"/>
      <c r="G7978" s="715"/>
    </row>
    <row r="7979" spans="1:7" ht="19.899999999999999" customHeight="1" x14ac:dyDescent="0.2">
      <c r="A7979" s="527"/>
      <c r="B7979" s="175"/>
      <c r="C7979" s="469" t="s">
        <v>1008</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27</v>
      </c>
      <c r="G7989" s="531">
        <f>SUBTOTAL(9,G7980:G7988)</f>
        <v>0</v>
      </c>
    </row>
    <row r="7990" spans="1:7" ht="19.899999999999999" customHeight="1" x14ac:dyDescent="0.2">
      <c r="A7990" s="527"/>
      <c r="B7990" s="175"/>
      <c r="C7990" s="469" t="s">
        <v>713</v>
      </c>
      <c r="D7990" s="473"/>
      <c r="E7990" s="474"/>
      <c r="F7990" s="475"/>
      <c r="G7990" s="528"/>
    </row>
    <row r="7991" spans="1:7" ht="19.899999999999999" customHeight="1" x14ac:dyDescent="0.2">
      <c r="A7991" s="706" t="s">
        <v>576</v>
      </c>
      <c r="B7991" s="707"/>
      <c r="C7991" s="708" t="s">
        <v>0</v>
      </c>
      <c r="D7991" s="710" t="s">
        <v>24</v>
      </c>
      <c r="E7991" s="710" t="s">
        <v>1832</v>
      </c>
      <c r="F7991" s="712" t="s">
        <v>1007</v>
      </c>
      <c r="G7991" s="714" t="s">
        <v>26</v>
      </c>
    </row>
    <row r="7992" spans="1:7" ht="19.899999999999999" customHeight="1" x14ac:dyDescent="0.2">
      <c r="A7992" s="491" t="s">
        <v>577</v>
      </c>
      <c r="B7992" s="491" t="s">
        <v>578</v>
      </c>
      <c r="C7992" s="709"/>
      <c r="D7992" s="711"/>
      <c r="E7992" s="711"/>
      <c r="F7992" s="713"/>
      <c r="G7992" s="715"/>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28</v>
      </c>
      <c r="G8000" s="532">
        <f>SUBTOTAL(9,G7993:G7999)</f>
        <v>0</v>
      </c>
    </row>
    <row r="8001" spans="1:7" ht="19.899999999999999" customHeight="1" x14ac:dyDescent="0.2">
      <c r="A8001" s="527"/>
      <c r="B8001" s="175"/>
      <c r="C8001" s="469" t="s">
        <v>1014</v>
      </c>
      <c r="D8001" s="473"/>
      <c r="E8001" s="474"/>
      <c r="F8001" s="475"/>
      <c r="G8001" s="528"/>
    </row>
    <row r="8002" spans="1:7" ht="19.899999999999999" customHeight="1" x14ac:dyDescent="0.2">
      <c r="A8002" s="706" t="s">
        <v>576</v>
      </c>
      <c r="B8002" s="707"/>
      <c r="C8002" s="708" t="s">
        <v>0</v>
      </c>
      <c r="D8002" s="708" t="s">
        <v>1867</v>
      </c>
      <c r="E8002" s="710" t="s">
        <v>24</v>
      </c>
      <c r="F8002" s="712" t="s">
        <v>25</v>
      </c>
      <c r="G8002" s="714" t="s">
        <v>26</v>
      </c>
    </row>
    <row r="8003" spans="1:7" ht="19.899999999999999" customHeight="1" x14ac:dyDescent="0.2">
      <c r="A8003" s="491" t="s">
        <v>577</v>
      </c>
      <c r="B8003" s="491" t="s">
        <v>578</v>
      </c>
      <c r="C8003" s="709"/>
      <c r="D8003" s="709"/>
      <c r="E8003" s="711"/>
      <c r="F8003" s="713"/>
      <c r="G8003" s="715"/>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29</v>
      </c>
      <c r="G8015" s="532">
        <f>SUBTOTAL(9,G8004:G8014)</f>
        <v>0</v>
      </c>
    </row>
    <row r="8016" spans="1:7" ht="19.899999999999999" customHeight="1" x14ac:dyDescent="0.2">
      <c r="A8016" s="527"/>
      <c r="B8016" s="175"/>
      <c r="C8016" s="469" t="s">
        <v>1015</v>
      </c>
      <c r="D8016" s="473"/>
      <c r="E8016" s="474"/>
      <c r="F8016" s="475"/>
      <c r="G8016" s="528"/>
    </row>
    <row r="8017" spans="1:7" ht="19.899999999999999" customHeight="1" x14ac:dyDescent="0.2">
      <c r="A8017" s="706" t="s">
        <v>576</v>
      </c>
      <c r="B8017" s="707"/>
      <c r="C8017" s="708" t="s">
        <v>0</v>
      </c>
      <c r="D8017" s="708" t="s">
        <v>1867</v>
      </c>
      <c r="E8017" s="710" t="s">
        <v>24</v>
      </c>
      <c r="F8017" s="712" t="s">
        <v>25</v>
      </c>
      <c r="G8017" s="714" t="s">
        <v>26</v>
      </c>
    </row>
    <row r="8018" spans="1:7" ht="19.899999999999999" customHeight="1" x14ac:dyDescent="0.2">
      <c r="A8018" s="491" t="s">
        <v>577</v>
      </c>
      <c r="B8018" s="491" t="s">
        <v>578</v>
      </c>
      <c r="C8018" s="709"/>
      <c r="D8018" s="709"/>
      <c r="E8018" s="711"/>
      <c r="F8018" s="713"/>
      <c r="G8018" s="715"/>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1016</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1833</v>
      </c>
      <c r="E8023" s="586"/>
      <c r="F8023" s="587" t="str">
        <f ca="1">"$/"&amp;G7957</f>
        <v>$/0</v>
      </c>
      <c r="G8023" s="537">
        <f>SUBTOTAL(9,G7980:G8022)</f>
        <v>0</v>
      </c>
    </row>
    <row r="8024" spans="1:7" ht="19.899999999999999" customHeight="1" x14ac:dyDescent="0.2">
      <c r="A8024" s="533"/>
      <c r="B8024" s="534"/>
      <c r="C8024" s="535"/>
      <c r="D8024" s="535" t="s">
        <v>2043</v>
      </c>
      <c r="E8024" s="536"/>
      <c r="F8024" s="589" t="str">
        <f ca="1">"$/"&amp;G7957</f>
        <v>$/0</v>
      </c>
      <c r="G8024" s="537">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16" t="s">
        <v>31</v>
      </c>
      <c r="B8026" s="717"/>
      <c r="C8026" s="717"/>
      <c r="D8026" s="717"/>
      <c r="E8026" s="717"/>
      <c r="F8026" s="717"/>
      <c r="G8026" s="718"/>
    </row>
    <row r="8027" spans="1:7" ht="19.899999999999999" customHeight="1" x14ac:dyDescent="0.2">
      <c r="A8027" s="516" t="s">
        <v>711</v>
      </c>
      <c r="B8027" s="467" t="str">
        <f>Comitente</f>
        <v>DIRECCIÓN PROVINCIAL DE VIALIDAD</v>
      </c>
      <c r="C8027" s="468"/>
      <c r="D8027" s="469"/>
      <c r="E8027" s="469"/>
      <c r="F8027" s="470"/>
      <c r="G8027" s="517"/>
    </row>
    <row r="8028" spans="1:7" ht="19.899999999999999" customHeight="1" x14ac:dyDescent="0.2">
      <c r="A8028" s="516" t="s">
        <v>712</v>
      </c>
      <c r="B8028" s="467">
        <f>Contratista</f>
        <v>0</v>
      </c>
      <c r="C8028" s="471"/>
      <c r="D8028" s="471"/>
      <c r="E8028" s="471"/>
      <c r="F8028" s="467"/>
      <c r="G8028" s="518"/>
    </row>
    <row r="8029" spans="1:7" ht="19.899999999999999" customHeight="1" x14ac:dyDescent="0.2">
      <c r="A8029" s="516" t="s">
        <v>21</v>
      </c>
      <c r="B8029" s="467" t="str">
        <f>Obra</f>
        <v>OBRA BÁSICA Y PAVIMENTACIÓN CALLE GÜEMES</v>
      </c>
      <c r="C8029" s="471"/>
      <c r="D8029" s="471"/>
      <c r="E8029" s="471"/>
      <c r="F8029" s="467" t="s">
        <v>32</v>
      </c>
      <c r="G8029" s="518">
        <f>Fecha_Base</f>
        <v>0</v>
      </c>
    </row>
    <row r="8030" spans="1:7" ht="19.899999999999999" customHeight="1" x14ac:dyDescent="0.2">
      <c r="A8030" s="519" t="s">
        <v>710</v>
      </c>
      <c r="B8030" s="472" t="str">
        <f>Ubicación</f>
        <v>Rawson - Santa Lucia</v>
      </c>
      <c r="C8030" s="472"/>
      <c r="D8030" s="473"/>
      <c r="E8030" s="474"/>
      <c r="F8030" s="475"/>
      <c r="G8030" s="520"/>
    </row>
    <row r="8031" spans="1:7" ht="19.899999999999999" customHeight="1" x14ac:dyDescent="0.2">
      <c r="A8031" s="519" t="s">
        <v>33</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22</v>
      </c>
      <c r="B8032" s="477" t="str">
        <f>IFERROR(VLOOKUP(COUNTIF($A$1:A8032,"ANALISIS DE PRECIOS"),T_NumeroItem,2,FALSE),"")</f>
        <v/>
      </c>
      <c r="C8032" s="719">
        <f ca="1">IFERROR(VLOOKUP(B8032,T_Computo_Presupuesto,2,FALSE),0)</f>
        <v>0</v>
      </c>
      <c r="D8032" s="719"/>
      <c r="E8032" s="719"/>
      <c r="F8032" s="472" t="s">
        <v>23</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999</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1000</v>
      </c>
      <c r="D8036" s="482" t="s">
        <v>24</v>
      </c>
      <c r="E8036" s="482" t="s">
        <v>1001</v>
      </c>
      <c r="F8036" s="482" t="s">
        <v>1002</v>
      </c>
      <c r="G8036" s="481" t="s">
        <v>1003</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1004</v>
      </c>
      <c r="D8048" s="472" t="s">
        <v>1001</v>
      </c>
      <c r="E8048" s="538">
        <f>SUMPRODUCT(D8037:D8046,E8037:E8046)</f>
        <v>0</v>
      </c>
      <c r="F8048" s="472" t="s">
        <v>1005</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1006</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06" t="s">
        <v>576</v>
      </c>
      <c r="B8052" s="707"/>
      <c r="C8052" s="708" t="s">
        <v>0</v>
      </c>
      <c r="D8052" s="720" t="s">
        <v>1866</v>
      </c>
      <c r="E8052" s="720" t="s">
        <v>1865</v>
      </c>
      <c r="F8052" s="712" t="s">
        <v>1007</v>
      </c>
      <c r="G8052" s="714" t="s">
        <v>26</v>
      </c>
    </row>
    <row r="8053" spans="1:7" ht="19.899999999999999" customHeight="1" x14ac:dyDescent="0.2">
      <c r="A8053" s="491" t="s">
        <v>577</v>
      </c>
      <c r="B8053" s="491" t="s">
        <v>578</v>
      </c>
      <c r="C8053" s="709"/>
      <c r="D8053" s="721"/>
      <c r="E8053" s="711"/>
      <c r="F8053" s="713"/>
      <c r="G8053" s="715"/>
    </row>
    <row r="8054" spans="1:7" ht="19.899999999999999" customHeight="1" x14ac:dyDescent="0.2">
      <c r="A8054" s="527"/>
      <c r="B8054" s="175"/>
      <c r="C8054" s="469" t="s">
        <v>1008</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27</v>
      </c>
      <c r="G8064" s="531">
        <f>SUBTOTAL(9,G8055:G8063)</f>
        <v>0</v>
      </c>
    </row>
    <row r="8065" spans="1:7" ht="19.899999999999999" customHeight="1" x14ac:dyDescent="0.2">
      <c r="A8065" s="527"/>
      <c r="B8065" s="175"/>
      <c r="C8065" s="469" t="s">
        <v>713</v>
      </c>
      <c r="D8065" s="473"/>
      <c r="E8065" s="474"/>
      <c r="F8065" s="475"/>
      <c r="G8065" s="528"/>
    </row>
    <row r="8066" spans="1:7" ht="19.899999999999999" customHeight="1" x14ac:dyDescent="0.2">
      <c r="A8066" s="706" t="s">
        <v>576</v>
      </c>
      <c r="B8066" s="707"/>
      <c r="C8066" s="708" t="s">
        <v>0</v>
      </c>
      <c r="D8066" s="710" t="s">
        <v>24</v>
      </c>
      <c r="E8066" s="710" t="s">
        <v>1832</v>
      </c>
      <c r="F8066" s="712" t="s">
        <v>1007</v>
      </c>
      <c r="G8066" s="714" t="s">
        <v>26</v>
      </c>
    </row>
    <row r="8067" spans="1:7" ht="19.899999999999999" customHeight="1" x14ac:dyDescent="0.2">
      <c r="A8067" s="491" t="s">
        <v>577</v>
      </c>
      <c r="B8067" s="491" t="s">
        <v>578</v>
      </c>
      <c r="C8067" s="709"/>
      <c r="D8067" s="711"/>
      <c r="E8067" s="711"/>
      <c r="F8067" s="713"/>
      <c r="G8067" s="715"/>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28</v>
      </c>
      <c r="G8075" s="532">
        <f>SUBTOTAL(9,G8068:G8074)</f>
        <v>0</v>
      </c>
    </row>
    <row r="8076" spans="1:7" ht="19.899999999999999" customHeight="1" x14ac:dyDescent="0.2">
      <c r="A8076" s="527"/>
      <c r="B8076" s="175"/>
      <c r="C8076" s="469" t="s">
        <v>1014</v>
      </c>
      <c r="D8076" s="473"/>
      <c r="E8076" s="474"/>
      <c r="F8076" s="475"/>
      <c r="G8076" s="528"/>
    </row>
    <row r="8077" spans="1:7" ht="19.899999999999999" customHeight="1" x14ac:dyDescent="0.2">
      <c r="A8077" s="706" t="s">
        <v>576</v>
      </c>
      <c r="B8077" s="707"/>
      <c r="C8077" s="708" t="s">
        <v>0</v>
      </c>
      <c r="D8077" s="708" t="s">
        <v>1867</v>
      </c>
      <c r="E8077" s="710" t="s">
        <v>24</v>
      </c>
      <c r="F8077" s="712" t="s">
        <v>25</v>
      </c>
      <c r="G8077" s="714" t="s">
        <v>26</v>
      </c>
    </row>
    <row r="8078" spans="1:7" ht="19.899999999999999" customHeight="1" x14ac:dyDescent="0.2">
      <c r="A8078" s="491" t="s">
        <v>577</v>
      </c>
      <c r="B8078" s="491" t="s">
        <v>578</v>
      </c>
      <c r="C8078" s="709"/>
      <c r="D8078" s="709"/>
      <c r="E8078" s="711"/>
      <c r="F8078" s="713"/>
      <c r="G8078" s="715"/>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29</v>
      </c>
      <c r="G8090" s="532">
        <f>SUBTOTAL(9,G8079:G8089)</f>
        <v>0</v>
      </c>
    </row>
    <row r="8091" spans="1:7" ht="19.899999999999999" customHeight="1" x14ac:dyDescent="0.2">
      <c r="A8091" s="527"/>
      <c r="B8091" s="175"/>
      <c r="C8091" s="469" t="s">
        <v>1015</v>
      </c>
      <c r="D8091" s="473"/>
      <c r="E8091" s="474"/>
      <c r="F8091" s="475"/>
      <c r="G8091" s="528"/>
    </row>
    <row r="8092" spans="1:7" ht="19.899999999999999" customHeight="1" x14ac:dyDescent="0.2">
      <c r="A8092" s="706" t="s">
        <v>576</v>
      </c>
      <c r="B8092" s="707"/>
      <c r="C8092" s="708" t="s">
        <v>0</v>
      </c>
      <c r="D8092" s="708" t="s">
        <v>1867</v>
      </c>
      <c r="E8092" s="710" t="s">
        <v>24</v>
      </c>
      <c r="F8092" s="712" t="s">
        <v>25</v>
      </c>
      <c r="G8092" s="714" t="s">
        <v>26</v>
      </c>
    </row>
    <row r="8093" spans="1:7" ht="19.899999999999999" customHeight="1" x14ac:dyDescent="0.2">
      <c r="A8093" s="491" t="s">
        <v>577</v>
      </c>
      <c r="B8093" s="491" t="s">
        <v>578</v>
      </c>
      <c r="C8093" s="709"/>
      <c r="D8093" s="709"/>
      <c r="E8093" s="711"/>
      <c r="F8093" s="713"/>
      <c r="G8093" s="715"/>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1016</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1833</v>
      </c>
      <c r="E8098" s="586"/>
      <c r="F8098" s="587" t="str">
        <f ca="1">"$/"&amp;G8032</f>
        <v>$/0</v>
      </c>
      <c r="G8098" s="537">
        <f>SUBTOTAL(9,G8055:G8097)</f>
        <v>0</v>
      </c>
    </row>
    <row r="8099" spans="1:7" ht="19.899999999999999" customHeight="1" x14ac:dyDescent="0.2">
      <c r="A8099" s="533"/>
      <c r="B8099" s="534"/>
      <c r="C8099" s="535"/>
      <c r="D8099" s="535" t="s">
        <v>2043</v>
      </c>
      <c r="E8099" s="536"/>
      <c r="F8099" s="589" t="str">
        <f ca="1">"$/"&amp;G8032</f>
        <v>$/0</v>
      </c>
      <c r="G8099" s="537">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16" t="s">
        <v>31</v>
      </c>
      <c r="B8101" s="717"/>
      <c r="C8101" s="717"/>
      <c r="D8101" s="717"/>
      <c r="E8101" s="717"/>
      <c r="F8101" s="717"/>
      <c r="G8101" s="718"/>
    </row>
    <row r="8102" spans="1:7" ht="19.899999999999999" customHeight="1" x14ac:dyDescent="0.2">
      <c r="A8102" s="516" t="s">
        <v>711</v>
      </c>
      <c r="B8102" s="467" t="str">
        <f>Comitente</f>
        <v>DIRECCIÓN PROVINCIAL DE VIALIDAD</v>
      </c>
      <c r="C8102" s="468"/>
      <c r="D8102" s="469"/>
      <c r="E8102" s="469"/>
      <c r="F8102" s="470"/>
      <c r="G8102" s="517"/>
    </row>
    <row r="8103" spans="1:7" ht="19.899999999999999" customHeight="1" x14ac:dyDescent="0.2">
      <c r="A8103" s="516" t="s">
        <v>712</v>
      </c>
      <c r="B8103" s="467">
        <f>Contratista</f>
        <v>0</v>
      </c>
      <c r="C8103" s="471"/>
      <c r="D8103" s="471"/>
      <c r="E8103" s="471"/>
      <c r="F8103" s="467"/>
      <c r="G8103" s="518"/>
    </row>
    <row r="8104" spans="1:7" ht="19.899999999999999" customHeight="1" x14ac:dyDescent="0.2">
      <c r="A8104" s="516" t="s">
        <v>21</v>
      </c>
      <c r="B8104" s="467" t="str">
        <f>Obra</f>
        <v>OBRA BÁSICA Y PAVIMENTACIÓN CALLE GÜEMES</v>
      </c>
      <c r="C8104" s="471"/>
      <c r="D8104" s="471"/>
      <c r="E8104" s="471"/>
      <c r="F8104" s="467" t="s">
        <v>32</v>
      </c>
      <c r="G8104" s="518">
        <f>Fecha_Base</f>
        <v>0</v>
      </c>
    </row>
    <row r="8105" spans="1:7" ht="19.899999999999999" customHeight="1" x14ac:dyDescent="0.2">
      <c r="A8105" s="519" t="s">
        <v>710</v>
      </c>
      <c r="B8105" s="472" t="str">
        <f>Ubicación</f>
        <v>Rawson - Santa Lucia</v>
      </c>
      <c r="C8105" s="472"/>
      <c r="D8105" s="473"/>
      <c r="E8105" s="474"/>
      <c r="F8105" s="475"/>
      <c r="G8105" s="520"/>
    </row>
    <row r="8106" spans="1:7" ht="19.899999999999999" customHeight="1" x14ac:dyDescent="0.2">
      <c r="A8106" s="519" t="s">
        <v>33</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22</v>
      </c>
      <c r="B8107" s="477" t="str">
        <f>IFERROR(VLOOKUP(COUNTIF($A$1:A8107,"ANALISIS DE PRECIOS"),T_NumeroItem,2,FALSE),"")</f>
        <v/>
      </c>
      <c r="C8107" s="719">
        <f ca="1">IFERROR(VLOOKUP(B8107,T_Computo_Presupuesto,2,FALSE),0)</f>
        <v>0</v>
      </c>
      <c r="D8107" s="719"/>
      <c r="E8107" s="719"/>
      <c r="F8107" s="472" t="s">
        <v>23</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999</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1000</v>
      </c>
      <c r="D8111" s="482" t="s">
        <v>24</v>
      </c>
      <c r="E8111" s="482" t="s">
        <v>1001</v>
      </c>
      <c r="F8111" s="482" t="s">
        <v>1002</v>
      </c>
      <c r="G8111" s="481" t="s">
        <v>1003</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1004</v>
      </c>
      <c r="D8123" s="472" t="s">
        <v>1001</v>
      </c>
      <c r="E8123" s="538">
        <f>SUMPRODUCT(D8112:D8121,E8112:E8121)</f>
        <v>0</v>
      </c>
      <c r="F8123" s="472" t="s">
        <v>1005</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1006</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06" t="s">
        <v>576</v>
      </c>
      <c r="B8127" s="707"/>
      <c r="C8127" s="708" t="s">
        <v>0</v>
      </c>
      <c r="D8127" s="720" t="s">
        <v>1866</v>
      </c>
      <c r="E8127" s="720" t="s">
        <v>1865</v>
      </c>
      <c r="F8127" s="712" t="s">
        <v>1007</v>
      </c>
      <c r="G8127" s="714" t="s">
        <v>26</v>
      </c>
    </row>
    <row r="8128" spans="1:7" ht="19.899999999999999" customHeight="1" x14ac:dyDescent="0.2">
      <c r="A8128" s="491" t="s">
        <v>577</v>
      </c>
      <c r="B8128" s="491" t="s">
        <v>578</v>
      </c>
      <c r="C8128" s="709"/>
      <c r="D8128" s="721"/>
      <c r="E8128" s="711"/>
      <c r="F8128" s="713"/>
      <c r="G8128" s="715"/>
    </row>
    <row r="8129" spans="1:7" ht="19.899999999999999" customHeight="1" x14ac:dyDescent="0.2">
      <c r="A8129" s="527"/>
      <c r="B8129" s="175"/>
      <c r="C8129" s="469" t="s">
        <v>1008</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27</v>
      </c>
      <c r="G8139" s="531">
        <f>SUBTOTAL(9,G8130:G8138)</f>
        <v>0</v>
      </c>
    </row>
    <row r="8140" spans="1:7" ht="19.899999999999999" customHeight="1" x14ac:dyDescent="0.2">
      <c r="A8140" s="527"/>
      <c r="B8140" s="175"/>
      <c r="C8140" s="469" t="s">
        <v>713</v>
      </c>
      <c r="D8140" s="473"/>
      <c r="E8140" s="474"/>
      <c r="F8140" s="475"/>
      <c r="G8140" s="528"/>
    </row>
    <row r="8141" spans="1:7" ht="19.899999999999999" customHeight="1" x14ac:dyDescent="0.2">
      <c r="A8141" s="706" t="s">
        <v>576</v>
      </c>
      <c r="B8141" s="707"/>
      <c r="C8141" s="708" t="s">
        <v>0</v>
      </c>
      <c r="D8141" s="710" t="s">
        <v>24</v>
      </c>
      <c r="E8141" s="710" t="s">
        <v>1832</v>
      </c>
      <c r="F8141" s="712" t="s">
        <v>1007</v>
      </c>
      <c r="G8141" s="714" t="s">
        <v>26</v>
      </c>
    </row>
    <row r="8142" spans="1:7" ht="19.899999999999999" customHeight="1" x14ac:dyDescent="0.2">
      <c r="A8142" s="491" t="s">
        <v>577</v>
      </c>
      <c r="B8142" s="491" t="s">
        <v>578</v>
      </c>
      <c r="C8142" s="709"/>
      <c r="D8142" s="711"/>
      <c r="E8142" s="711"/>
      <c r="F8142" s="713"/>
      <c r="G8142" s="715"/>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28</v>
      </c>
      <c r="G8150" s="532">
        <f>SUBTOTAL(9,G8143:G8149)</f>
        <v>0</v>
      </c>
    </row>
    <row r="8151" spans="1:7" ht="19.899999999999999" customHeight="1" x14ac:dyDescent="0.2">
      <c r="A8151" s="527"/>
      <c r="B8151" s="175"/>
      <c r="C8151" s="469" t="s">
        <v>1014</v>
      </c>
      <c r="D8151" s="473"/>
      <c r="E8151" s="474"/>
      <c r="F8151" s="475"/>
      <c r="G8151" s="528"/>
    </row>
    <row r="8152" spans="1:7" ht="19.899999999999999" customHeight="1" x14ac:dyDescent="0.2">
      <c r="A8152" s="706" t="s">
        <v>576</v>
      </c>
      <c r="B8152" s="707"/>
      <c r="C8152" s="708" t="s">
        <v>0</v>
      </c>
      <c r="D8152" s="708" t="s">
        <v>1867</v>
      </c>
      <c r="E8152" s="710" t="s">
        <v>24</v>
      </c>
      <c r="F8152" s="712" t="s">
        <v>25</v>
      </c>
      <c r="G8152" s="714" t="s">
        <v>26</v>
      </c>
    </row>
    <row r="8153" spans="1:7" ht="19.899999999999999" customHeight="1" x14ac:dyDescent="0.2">
      <c r="A8153" s="491" t="s">
        <v>577</v>
      </c>
      <c r="B8153" s="491" t="s">
        <v>578</v>
      </c>
      <c r="C8153" s="709"/>
      <c r="D8153" s="709"/>
      <c r="E8153" s="711"/>
      <c r="F8153" s="713"/>
      <c r="G8153" s="715"/>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29</v>
      </c>
      <c r="G8165" s="532">
        <f>SUBTOTAL(9,G8154:G8164)</f>
        <v>0</v>
      </c>
    </row>
    <row r="8166" spans="1:7" ht="19.899999999999999" customHeight="1" x14ac:dyDescent="0.2">
      <c r="A8166" s="527"/>
      <c r="B8166" s="175"/>
      <c r="C8166" s="469" t="s">
        <v>1015</v>
      </c>
      <c r="D8166" s="473"/>
      <c r="E8166" s="474"/>
      <c r="F8166" s="475"/>
      <c r="G8166" s="528"/>
    </row>
    <row r="8167" spans="1:7" ht="19.899999999999999" customHeight="1" x14ac:dyDescent="0.2">
      <c r="A8167" s="706" t="s">
        <v>576</v>
      </c>
      <c r="B8167" s="707"/>
      <c r="C8167" s="708" t="s">
        <v>0</v>
      </c>
      <c r="D8167" s="708" t="s">
        <v>1867</v>
      </c>
      <c r="E8167" s="710" t="s">
        <v>24</v>
      </c>
      <c r="F8167" s="712" t="s">
        <v>25</v>
      </c>
      <c r="G8167" s="714" t="s">
        <v>26</v>
      </c>
    </row>
    <row r="8168" spans="1:7" ht="19.899999999999999" customHeight="1" x14ac:dyDescent="0.2">
      <c r="A8168" s="491" t="s">
        <v>577</v>
      </c>
      <c r="B8168" s="491" t="s">
        <v>578</v>
      </c>
      <c r="C8168" s="709"/>
      <c r="D8168" s="709"/>
      <c r="E8168" s="711"/>
      <c r="F8168" s="713"/>
      <c r="G8168" s="715"/>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1016</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1833</v>
      </c>
      <c r="E8173" s="586"/>
      <c r="F8173" s="587" t="str">
        <f ca="1">"$/"&amp;G8107</f>
        <v>$/0</v>
      </c>
      <c r="G8173" s="537">
        <f>SUBTOTAL(9,G8130:G8172)</f>
        <v>0</v>
      </c>
    </row>
    <row r="8174" spans="1:7" ht="19.899999999999999" customHeight="1" x14ac:dyDescent="0.2">
      <c r="A8174" s="533"/>
      <c r="B8174" s="534"/>
      <c r="C8174" s="535"/>
      <c r="D8174" s="535" t="s">
        <v>2043</v>
      </c>
      <c r="E8174" s="536"/>
      <c r="F8174" s="589" t="str">
        <f ca="1">"$/"&amp;G8107</f>
        <v>$/0</v>
      </c>
      <c r="G8174" s="537">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16" t="s">
        <v>31</v>
      </c>
      <c r="B8176" s="717"/>
      <c r="C8176" s="717"/>
      <c r="D8176" s="717"/>
      <c r="E8176" s="717"/>
      <c r="F8176" s="717"/>
      <c r="G8176" s="718"/>
    </row>
    <row r="8177" spans="1:7" ht="19.899999999999999" customHeight="1" x14ac:dyDescent="0.2">
      <c r="A8177" s="516" t="s">
        <v>711</v>
      </c>
      <c r="B8177" s="467" t="str">
        <f>Comitente</f>
        <v>DIRECCIÓN PROVINCIAL DE VIALIDAD</v>
      </c>
      <c r="C8177" s="468"/>
      <c r="D8177" s="469"/>
      <c r="E8177" s="469"/>
      <c r="F8177" s="470"/>
      <c r="G8177" s="517"/>
    </row>
    <row r="8178" spans="1:7" ht="19.899999999999999" customHeight="1" x14ac:dyDescent="0.2">
      <c r="A8178" s="516" t="s">
        <v>712</v>
      </c>
      <c r="B8178" s="467">
        <f>Contratista</f>
        <v>0</v>
      </c>
      <c r="C8178" s="471"/>
      <c r="D8178" s="471"/>
      <c r="E8178" s="471"/>
      <c r="F8178" s="467"/>
      <c r="G8178" s="518"/>
    </row>
    <row r="8179" spans="1:7" ht="19.899999999999999" customHeight="1" x14ac:dyDescent="0.2">
      <c r="A8179" s="516" t="s">
        <v>21</v>
      </c>
      <c r="B8179" s="467" t="str">
        <f>Obra</f>
        <v>OBRA BÁSICA Y PAVIMENTACIÓN CALLE GÜEMES</v>
      </c>
      <c r="C8179" s="471"/>
      <c r="D8179" s="471"/>
      <c r="E8179" s="471"/>
      <c r="F8179" s="467" t="s">
        <v>32</v>
      </c>
      <c r="G8179" s="518">
        <f>Fecha_Base</f>
        <v>0</v>
      </c>
    </row>
    <row r="8180" spans="1:7" ht="19.899999999999999" customHeight="1" x14ac:dyDescent="0.2">
      <c r="A8180" s="519" t="s">
        <v>710</v>
      </c>
      <c r="B8180" s="472" t="str">
        <f>Ubicación</f>
        <v>Rawson - Santa Lucia</v>
      </c>
      <c r="C8180" s="472"/>
      <c r="D8180" s="473"/>
      <c r="E8180" s="474"/>
      <c r="F8180" s="475"/>
      <c r="G8180" s="520"/>
    </row>
    <row r="8181" spans="1:7" ht="19.899999999999999" customHeight="1" x14ac:dyDescent="0.2">
      <c r="A8181" s="519" t="s">
        <v>33</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22</v>
      </c>
      <c r="B8182" s="477" t="str">
        <f>IFERROR(VLOOKUP(COUNTIF($A$1:A8182,"ANALISIS DE PRECIOS"),T_NumeroItem,2,FALSE),"")</f>
        <v/>
      </c>
      <c r="C8182" s="719">
        <f ca="1">IFERROR(VLOOKUP(B8182,T_Computo_Presupuesto,2,FALSE),0)</f>
        <v>0</v>
      </c>
      <c r="D8182" s="719"/>
      <c r="E8182" s="719"/>
      <c r="F8182" s="472" t="s">
        <v>23</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999</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1000</v>
      </c>
      <c r="D8186" s="482" t="s">
        <v>24</v>
      </c>
      <c r="E8186" s="482" t="s">
        <v>1001</v>
      </c>
      <c r="F8186" s="482" t="s">
        <v>1002</v>
      </c>
      <c r="G8186" s="481" t="s">
        <v>1003</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1004</v>
      </c>
      <c r="D8198" s="472" t="s">
        <v>1001</v>
      </c>
      <c r="E8198" s="538">
        <f>SUMPRODUCT(D8187:D8196,E8187:E8196)</f>
        <v>0</v>
      </c>
      <c r="F8198" s="472" t="s">
        <v>1005</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1006</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06" t="s">
        <v>576</v>
      </c>
      <c r="B8202" s="707"/>
      <c r="C8202" s="708" t="s">
        <v>0</v>
      </c>
      <c r="D8202" s="720" t="s">
        <v>1866</v>
      </c>
      <c r="E8202" s="720" t="s">
        <v>1865</v>
      </c>
      <c r="F8202" s="712" t="s">
        <v>1007</v>
      </c>
      <c r="G8202" s="714" t="s">
        <v>26</v>
      </c>
    </row>
    <row r="8203" spans="1:7" ht="19.899999999999999" customHeight="1" x14ac:dyDescent="0.2">
      <c r="A8203" s="491" t="s">
        <v>577</v>
      </c>
      <c r="B8203" s="491" t="s">
        <v>578</v>
      </c>
      <c r="C8203" s="709"/>
      <c r="D8203" s="721"/>
      <c r="E8203" s="711"/>
      <c r="F8203" s="713"/>
      <c r="G8203" s="715"/>
    </row>
    <row r="8204" spans="1:7" ht="19.899999999999999" customHeight="1" x14ac:dyDescent="0.2">
      <c r="A8204" s="527"/>
      <c r="B8204" s="175"/>
      <c r="C8204" s="469" t="s">
        <v>1008</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27</v>
      </c>
      <c r="G8214" s="531">
        <f>SUBTOTAL(9,G8205:G8213)</f>
        <v>0</v>
      </c>
    </row>
    <row r="8215" spans="1:7" ht="19.899999999999999" customHeight="1" x14ac:dyDescent="0.2">
      <c r="A8215" s="527"/>
      <c r="B8215" s="175"/>
      <c r="C8215" s="469" t="s">
        <v>713</v>
      </c>
      <c r="D8215" s="473"/>
      <c r="E8215" s="474"/>
      <c r="F8215" s="475"/>
      <c r="G8215" s="528"/>
    </row>
    <row r="8216" spans="1:7" ht="19.899999999999999" customHeight="1" x14ac:dyDescent="0.2">
      <c r="A8216" s="706" t="s">
        <v>576</v>
      </c>
      <c r="B8216" s="707"/>
      <c r="C8216" s="708" t="s">
        <v>0</v>
      </c>
      <c r="D8216" s="710" t="s">
        <v>24</v>
      </c>
      <c r="E8216" s="710" t="s">
        <v>1832</v>
      </c>
      <c r="F8216" s="712" t="s">
        <v>1007</v>
      </c>
      <c r="G8216" s="714" t="s">
        <v>26</v>
      </c>
    </row>
    <row r="8217" spans="1:7" ht="19.899999999999999" customHeight="1" x14ac:dyDescent="0.2">
      <c r="A8217" s="491" t="s">
        <v>577</v>
      </c>
      <c r="B8217" s="491" t="s">
        <v>578</v>
      </c>
      <c r="C8217" s="709"/>
      <c r="D8217" s="711"/>
      <c r="E8217" s="711"/>
      <c r="F8217" s="713"/>
      <c r="G8217" s="715"/>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28</v>
      </c>
      <c r="G8225" s="532">
        <f>SUBTOTAL(9,G8218:G8224)</f>
        <v>0</v>
      </c>
    </row>
    <row r="8226" spans="1:7" ht="19.899999999999999" customHeight="1" x14ac:dyDescent="0.2">
      <c r="A8226" s="527"/>
      <c r="B8226" s="175"/>
      <c r="C8226" s="469" t="s">
        <v>1014</v>
      </c>
      <c r="D8226" s="473"/>
      <c r="E8226" s="474"/>
      <c r="F8226" s="475"/>
      <c r="G8226" s="528"/>
    </row>
    <row r="8227" spans="1:7" ht="19.899999999999999" customHeight="1" x14ac:dyDescent="0.2">
      <c r="A8227" s="706" t="s">
        <v>576</v>
      </c>
      <c r="B8227" s="707"/>
      <c r="C8227" s="708" t="s">
        <v>0</v>
      </c>
      <c r="D8227" s="708" t="s">
        <v>1867</v>
      </c>
      <c r="E8227" s="710" t="s">
        <v>24</v>
      </c>
      <c r="F8227" s="712" t="s">
        <v>25</v>
      </c>
      <c r="G8227" s="714" t="s">
        <v>26</v>
      </c>
    </row>
    <row r="8228" spans="1:7" ht="19.899999999999999" customHeight="1" x14ac:dyDescent="0.2">
      <c r="A8228" s="491" t="s">
        <v>577</v>
      </c>
      <c r="B8228" s="491" t="s">
        <v>578</v>
      </c>
      <c r="C8228" s="709"/>
      <c r="D8228" s="709"/>
      <c r="E8228" s="711"/>
      <c r="F8228" s="713"/>
      <c r="G8228" s="715"/>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29</v>
      </c>
      <c r="G8240" s="532">
        <f>SUBTOTAL(9,G8229:G8239)</f>
        <v>0</v>
      </c>
    </row>
    <row r="8241" spans="1:7" ht="19.899999999999999" customHeight="1" x14ac:dyDescent="0.2">
      <c r="A8241" s="527"/>
      <c r="B8241" s="175"/>
      <c r="C8241" s="469" t="s">
        <v>1015</v>
      </c>
      <c r="D8241" s="473"/>
      <c r="E8241" s="474"/>
      <c r="F8241" s="475"/>
      <c r="G8241" s="528"/>
    </row>
    <row r="8242" spans="1:7" ht="19.899999999999999" customHeight="1" x14ac:dyDescent="0.2">
      <c r="A8242" s="706" t="s">
        <v>576</v>
      </c>
      <c r="B8242" s="707"/>
      <c r="C8242" s="708" t="s">
        <v>0</v>
      </c>
      <c r="D8242" s="708" t="s">
        <v>1867</v>
      </c>
      <c r="E8242" s="710" t="s">
        <v>24</v>
      </c>
      <c r="F8242" s="712" t="s">
        <v>25</v>
      </c>
      <c r="G8242" s="714" t="s">
        <v>26</v>
      </c>
    </row>
    <row r="8243" spans="1:7" ht="19.899999999999999" customHeight="1" x14ac:dyDescent="0.2">
      <c r="A8243" s="491" t="s">
        <v>577</v>
      </c>
      <c r="B8243" s="491" t="s">
        <v>578</v>
      </c>
      <c r="C8243" s="709"/>
      <c r="D8243" s="709"/>
      <c r="E8243" s="711"/>
      <c r="F8243" s="713"/>
      <c r="G8243" s="715"/>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1016</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1833</v>
      </c>
      <c r="E8248" s="586"/>
      <c r="F8248" s="587" t="str">
        <f ca="1">"$/"&amp;G8182</f>
        <v>$/0</v>
      </c>
      <c r="G8248" s="537">
        <f>SUBTOTAL(9,G8205:G8247)</f>
        <v>0</v>
      </c>
    </row>
    <row r="8249" spans="1:7" ht="19.899999999999999" customHeight="1" x14ac:dyDescent="0.2">
      <c r="A8249" s="533"/>
      <c r="B8249" s="534"/>
      <c r="C8249" s="535"/>
      <c r="D8249" s="535" t="s">
        <v>2043</v>
      </c>
      <c r="E8249" s="536"/>
      <c r="F8249" s="589" t="str">
        <f ca="1">"$/"&amp;G8182</f>
        <v>$/0</v>
      </c>
      <c r="G8249" s="537">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16" t="s">
        <v>31</v>
      </c>
      <c r="B8251" s="717"/>
      <c r="C8251" s="717"/>
      <c r="D8251" s="717"/>
      <c r="E8251" s="717"/>
      <c r="F8251" s="717"/>
      <c r="G8251" s="718"/>
    </row>
    <row r="8252" spans="1:7" ht="19.899999999999999" customHeight="1" x14ac:dyDescent="0.2">
      <c r="A8252" s="516" t="s">
        <v>711</v>
      </c>
      <c r="B8252" s="467" t="str">
        <f>Comitente</f>
        <v>DIRECCIÓN PROVINCIAL DE VIALIDAD</v>
      </c>
      <c r="C8252" s="468"/>
      <c r="D8252" s="469"/>
      <c r="E8252" s="469"/>
      <c r="F8252" s="470"/>
      <c r="G8252" s="517"/>
    </row>
    <row r="8253" spans="1:7" ht="19.899999999999999" customHeight="1" x14ac:dyDescent="0.2">
      <c r="A8253" s="516" t="s">
        <v>712</v>
      </c>
      <c r="B8253" s="467">
        <f>Contratista</f>
        <v>0</v>
      </c>
      <c r="C8253" s="471"/>
      <c r="D8253" s="471"/>
      <c r="E8253" s="471"/>
      <c r="F8253" s="467"/>
      <c r="G8253" s="518"/>
    </row>
    <row r="8254" spans="1:7" ht="19.899999999999999" customHeight="1" x14ac:dyDescent="0.2">
      <c r="A8254" s="516" t="s">
        <v>21</v>
      </c>
      <c r="B8254" s="467" t="str">
        <f>Obra</f>
        <v>OBRA BÁSICA Y PAVIMENTACIÓN CALLE GÜEMES</v>
      </c>
      <c r="C8254" s="471"/>
      <c r="D8254" s="471"/>
      <c r="E8254" s="471"/>
      <c r="F8254" s="467" t="s">
        <v>32</v>
      </c>
      <c r="G8254" s="518">
        <f>Fecha_Base</f>
        <v>0</v>
      </c>
    </row>
    <row r="8255" spans="1:7" ht="19.899999999999999" customHeight="1" x14ac:dyDescent="0.2">
      <c r="A8255" s="519" t="s">
        <v>710</v>
      </c>
      <c r="B8255" s="472" t="str">
        <f>Ubicación</f>
        <v>Rawson - Santa Lucia</v>
      </c>
      <c r="C8255" s="472"/>
      <c r="D8255" s="473"/>
      <c r="E8255" s="474"/>
      <c r="F8255" s="475"/>
      <c r="G8255" s="520"/>
    </row>
    <row r="8256" spans="1:7" ht="19.899999999999999" customHeight="1" x14ac:dyDescent="0.2">
      <c r="A8256" s="519" t="s">
        <v>33</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22</v>
      </c>
      <c r="B8257" s="477" t="str">
        <f>IFERROR(VLOOKUP(COUNTIF($A$1:A8257,"ANALISIS DE PRECIOS"),T_NumeroItem,2,FALSE),"")</f>
        <v/>
      </c>
      <c r="C8257" s="719">
        <f ca="1">IFERROR(VLOOKUP(B8257,T_Computo_Presupuesto,2,FALSE),0)</f>
        <v>0</v>
      </c>
      <c r="D8257" s="719"/>
      <c r="E8257" s="719"/>
      <c r="F8257" s="472" t="s">
        <v>23</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999</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1000</v>
      </c>
      <c r="D8261" s="482" t="s">
        <v>24</v>
      </c>
      <c r="E8261" s="482" t="s">
        <v>1001</v>
      </c>
      <c r="F8261" s="482" t="s">
        <v>1002</v>
      </c>
      <c r="G8261" s="481" t="s">
        <v>1003</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1004</v>
      </c>
      <c r="D8273" s="472" t="s">
        <v>1001</v>
      </c>
      <c r="E8273" s="538">
        <f>SUMPRODUCT(D8262:D8271,E8262:E8271)</f>
        <v>0</v>
      </c>
      <c r="F8273" s="472" t="s">
        <v>1005</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1006</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06" t="s">
        <v>576</v>
      </c>
      <c r="B8277" s="707"/>
      <c r="C8277" s="708" t="s">
        <v>0</v>
      </c>
      <c r="D8277" s="720" t="s">
        <v>1866</v>
      </c>
      <c r="E8277" s="720" t="s">
        <v>1865</v>
      </c>
      <c r="F8277" s="712" t="s">
        <v>1007</v>
      </c>
      <c r="G8277" s="714" t="s">
        <v>26</v>
      </c>
    </row>
    <row r="8278" spans="1:7" ht="19.899999999999999" customHeight="1" x14ac:dyDescent="0.2">
      <c r="A8278" s="491" t="s">
        <v>577</v>
      </c>
      <c r="B8278" s="491" t="s">
        <v>578</v>
      </c>
      <c r="C8278" s="709"/>
      <c r="D8278" s="721"/>
      <c r="E8278" s="711"/>
      <c r="F8278" s="713"/>
      <c r="G8278" s="715"/>
    </row>
    <row r="8279" spans="1:7" ht="19.899999999999999" customHeight="1" x14ac:dyDescent="0.2">
      <c r="A8279" s="527"/>
      <c r="B8279" s="175"/>
      <c r="C8279" s="469" t="s">
        <v>1008</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27</v>
      </c>
      <c r="G8289" s="531">
        <f>SUBTOTAL(9,G8280:G8288)</f>
        <v>0</v>
      </c>
    </row>
    <row r="8290" spans="1:7" ht="19.899999999999999" customHeight="1" x14ac:dyDescent="0.2">
      <c r="A8290" s="527"/>
      <c r="B8290" s="175"/>
      <c r="C8290" s="469" t="s">
        <v>713</v>
      </c>
      <c r="D8290" s="473"/>
      <c r="E8290" s="474"/>
      <c r="F8290" s="475"/>
      <c r="G8290" s="528"/>
    </row>
    <row r="8291" spans="1:7" ht="19.899999999999999" customHeight="1" x14ac:dyDescent="0.2">
      <c r="A8291" s="706" t="s">
        <v>576</v>
      </c>
      <c r="B8291" s="707"/>
      <c r="C8291" s="708" t="s">
        <v>0</v>
      </c>
      <c r="D8291" s="710" t="s">
        <v>24</v>
      </c>
      <c r="E8291" s="710" t="s">
        <v>1832</v>
      </c>
      <c r="F8291" s="712" t="s">
        <v>1007</v>
      </c>
      <c r="G8291" s="714" t="s">
        <v>26</v>
      </c>
    </row>
    <row r="8292" spans="1:7" ht="19.899999999999999" customHeight="1" x14ac:dyDescent="0.2">
      <c r="A8292" s="491" t="s">
        <v>577</v>
      </c>
      <c r="B8292" s="491" t="s">
        <v>578</v>
      </c>
      <c r="C8292" s="709"/>
      <c r="D8292" s="711"/>
      <c r="E8292" s="711"/>
      <c r="F8292" s="713"/>
      <c r="G8292" s="715"/>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28</v>
      </c>
      <c r="G8300" s="532">
        <f>SUBTOTAL(9,G8293:G8299)</f>
        <v>0</v>
      </c>
    </row>
    <row r="8301" spans="1:7" ht="19.899999999999999" customHeight="1" x14ac:dyDescent="0.2">
      <c r="A8301" s="527"/>
      <c r="B8301" s="175"/>
      <c r="C8301" s="469" t="s">
        <v>1014</v>
      </c>
      <c r="D8301" s="473"/>
      <c r="E8301" s="474"/>
      <c r="F8301" s="475"/>
      <c r="G8301" s="528"/>
    </row>
    <row r="8302" spans="1:7" ht="19.899999999999999" customHeight="1" x14ac:dyDescent="0.2">
      <c r="A8302" s="706" t="s">
        <v>576</v>
      </c>
      <c r="B8302" s="707"/>
      <c r="C8302" s="708" t="s">
        <v>0</v>
      </c>
      <c r="D8302" s="708" t="s">
        <v>1867</v>
      </c>
      <c r="E8302" s="710" t="s">
        <v>24</v>
      </c>
      <c r="F8302" s="712" t="s">
        <v>25</v>
      </c>
      <c r="G8302" s="714" t="s">
        <v>26</v>
      </c>
    </row>
    <row r="8303" spans="1:7" ht="19.899999999999999" customHeight="1" x14ac:dyDescent="0.2">
      <c r="A8303" s="491" t="s">
        <v>577</v>
      </c>
      <c r="B8303" s="491" t="s">
        <v>578</v>
      </c>
      <c r="C8303" s="709"/>
      <c r="D8303" s="709"/>
      <c r="E8303" s="711"/>
      <c r="F8303" s="713"/>
      <c r="G8303" s="715"/>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29</v>
      </c>
      <c r="G8315" s="532">
        <f>SUBTOTAL(9,G8304:G8314)</f>
        <v>0</v>
      </c>
    </row>
    <row r="8316" spans="1:7" ht="19.899999999999999" customHeight="1" x14ac:dyDescent="0.2">
      <c r="A8316" s="527"/>
      <c r="B8316" s="175"/>
      <c r="C8316" s="469" t="s">
        <v>1015</v>
      </c>
      <c r="D8316" s="473"/>
      <c r="E8316" s="474"/>
      <c r="F8316" s="475"/>
      <c r="G8316" s="528"/>
    </row>
    <row r="8317" spans="1:7" ht="19.899999999999999" customHeight="1" x14ac:dyDescent="0.2">
      <c r="A8317" s="706" t="s">
        <v>576</v>
      </c>
      <c r="B8317" s="707"/>
      <c r="C8317" s="708" t="s">
        <v>0</v>
      </c>
      <c r="D8317" s="708" t="s">
        <v>1867</v>
      </c>
      <c r="E8317" s="710" t="s">
        <v>24</v>
      </c>
      <c r="F8317" s="712" t="s">
        <v>25</v>
      </c>
      <c r="G8317" s="714" t="s">
        <v>26</v>
      </c>
    </row>
    <row r="8318" spans="1:7" ht="19.899999999999999" customHeight="1" x14ac:dyDescent="0.2">
      <c r="A8318" s="491" t="s">
        <v>577</v>
      </c>
      <c r="B8318" s="491" t="s">
        <v>578</v>
      </c>
      <c r="C8318" s="709"/>
      <c r="D8318" s="709"/>
      <c r="E8318" s="711"/>
      <c r="F8318" s="713"/>
      <c r="G8318" s="715"/>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1016</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1833</v>
      </c>
      <c r="E8323" s="586"/>
      <c r="F8323" s="587" t="str">
        <f ca="1">"$/"&amp;G8257</f>
        <v>$/0</v>
      </c>
      <c r="G8323" s="537">
        <f>SUBTOTAL(9,G8280:G8322)</f>
        <v>0</v>
      </c>
    </row>
    <row r="8324" spans="1:7" ht="19.899999999999999" customHeight="1" x14ac:dyDescent="0.2">
      <c r="A8324" s="533"/>
      <c r="B8324" s="534"/>
      <c r="C8324" s="535"/>
      <c r="D8324" s="535" t="s">
        <v>2043</v>
      </c>
      <c r="E8324" s="536"/>
      <c r="F8324" s="589" t="str">
        <f ca="1">"$/"&amp;G8257</f>
        <v>$/0</v>
      </c>
      <c r="G8324" s="537">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16" t="s">
        <v>31</v>
      </c>
      <c r="B8326" s="717"/>
      <c r="C8326" s="717"/>
      <c r="D8326" s="717"/>
      <c r="E8326" s="717"/>
      <c r="F8326" s="717"/>
      <c r="G8326" s="718"/>
    </row>
    <row r="8327" spans="1:7" ht="19.899999999999999" customHeight="1" x14ac:dyDescent="0.2">
      <c r="A8327" s="516" t="s">
        <v>711</v>
      </c>
      <c r="B8327" s="467" t="str">
        <f>Comitente</f>
        <v>DIRECCIÓN PROVINCIAL DE VIALIDAD</v>
      </c>
      <c r="C8327" s="468"/>
      <c r="D8327" s="469"/>
      <c r="E8327" s="469"/>
      <c r="F8327" s="470"/>
      <c r="G8327" s="517"/>
    </row>
    <row r="8328" spans="1:7" ht="19.899999999999999" customHeight="1" x14ac:dyDescent="0.2">
      <c r="A8328" s="516" t="s">
        <v>712</v>
      </c>
      <c r="B8328" s="467">
        <f>Contratista</f>
        <v>0</v>
      </c>
      <c r="C8328" s="471"/>
      <c r="D8328" s="471"/>
      <c r="E8328" s="471"/>
      <c r="F8328" s="467"/>
      <c r="G8328" s="518"/>
    </row>
    <row r="8329" spans="1:7" ht="19.899999999999999" customHeight="1" x14ac:dyDescent="0.2">
      <c r="A8329" s="516" t="s">
        <v>21</v>
      </c>
      <c r="B8329" s="467" t="str">
        <f>Obra</f>
        <v>OBRA BÁSICA Y PAVIMENTACIÓN CALLE GÜEMES</v>
      </c>
      <c r="C8329" s="471"/>
      <c r="D8329" s="471"/>
      <c r="E8329" s="471"/>
      <c r="F8329" s="467" t="s">
        <v>32</v>
      </c>
      <c r="G8329" s="518">
        <f>Fecha_Base</f>
        <v>0</v>
      </c>
    </row>
    <row r="8330" spans="1:7" ht="19.899999999999999" customHeight="1" x14ac:dyDescent="0.2">
      <c r="A8330" s="519" t="s">
        <v>710</v>
      </c>
      <c r="B8330" s="472" t="str">
        <f>Ubicación</f>
        <v>Rawson - Santa Lucia</v>
      </c>
      <c r="C8330" s="472"/>
      <c r="D8330" s="473"/>
      <c r="E8330" s="474"/>
      <c r="F8330" s="475"/>
      <c r="G8330" s="520"/>
    </row>
    <row r="8331" spans="1:7" ht="19.899999999999999" customHeight="1" x14ac:dyDescent="0.2">
      <c r="A8331" s="519" t="s">
        <v>33</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22</v>
      </c>
      <c r="B8332" s="477" t="str">
        <f>IFERROR(VLOOKUP(COUNTIF($A$1:A8332,"ANALISIS DE PRECIOS"),T_NumeroItem,2,FALSE),"")</f>
        <v/>
      </c>
      <c r="C8332" s="719">
        <f ca="1">IFERROR(VLOOKUP(B8332,T_Computo_Presupuesto,2,FALSE),0)</f>
        <v>0</v>
      </c>
      <c r="D8332" s="719"/>
      <c r="E8332" s="719"/>
      <c r="F8332" s="472" t="s">
        <v>23</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999</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1000</v>
      </c>
      <c r="D8336" s="482" t="s">
        <v>24</v>
      </c>
      <c r="E8336" s="482" t="s">
        <v>1001</v>
      </c>
      <c r="F8336" s="482" t="s">
        <v>1002</v>
      </c>
      <c r="G8336" s="481" t="s">
        <v>1003</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1004</v>
      </c>
      <c r="D8348" s="472" t="s">
        <v>1001</v>
      </c>
      <c r="E8348" s="538">
        <f>SUMPRODUCT(D8337:D8346,E8337:E8346)</f>
        <v>0</v>
      </c>
      <c r="F8348" s="472" t="s">
        <v>1005</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1006</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06" t="s">
        <v>576</v>
      </c>
      <c r="B8352" s="707"/>
      <c r="C8352" s="708" t="s">
        <v>0</v>
      </c>
      <c r="D8352" s="720" t="s">
        <v>1866</v>
      </c>
      <c r="E8352" s="720" t="s">
        <v>1865</v>
      </c>
      <c r="F8352" s="712" t="s">
        <v>1007</v>
      </c>
      <c r="G8352" s="714" t="s">
        <v>26</v>
      </c>
    </row>
    <row r="8353" spans="1:7" ht="19.899999999999999" customHeight="1" x14ac:dyDescent="0.2">
      <c r="A8353" s="491" t="s">
        <v>577</v>
      </c>
      <c r="B8353" s="491" t="s">
        <v>578</v>
      </c>
      <c r="C8353" s="709"/>
      <c r="D8353" s="721"/>
      <c r="E8353" s="711"/>
      <c r="F8353" s="713"/>
      <c r="G8353" s="715"/>
    </row>
    <row r="8354" spans="1:7" ht="19.899999999999999" customHeight="1" x14ac:dyDescent="0.2">
      <c r="A8354" s="527"/>
      <c r="B8354" s="175"/>
      <c r="C8354" s="469" t="s">
        <v>1008</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27</v>
      </c>
      <c r="G8364" s="531">
        <f>SUBTOTAL(9,G8355:G8363)</f>
        <v>0</v>
      </c>
    </row>
    <row r="8365" spans="1:7" ht="19.899999999999999" customHeight="1" x14ac:dyDescent="0.2">
      <c r="A8365" s="527"/>
      <c r="B8365" s="175"/>
      <c r="C8365" s="469" t="s">
        <v>713</v>
      </c>
      <c r="D8365" s="473"/>
      <c r="E8365" s="474"/>
      <c r="F8365" s="475"/>
      <c r="G8365" s="528"/>
    </row>
    <row r="8366" spans="1:7" ht="19.899999999999999" customHeight="1" x14ac:dyDescent="0.2">
      <c r="A8366" s="706" t="s">
        <v>576</v>
      </c>
      <c r="B8366" s="707"/>
      <c r="C8366" s="708" t="s">
        <v>0</v>
      </c>
      <c r="D8366" s="710" t="s">
        <v>24</v>
      </c>
      <c r="E8366" s="710" t="s">
        <v>1832</v>
      </c>
      <c r="F8366" s="712" t="s">
        <v>1007</v>
      </c>
      <c r="G8366" s="714" t="s">
        <v>26</v>
      </c>
    </row>
    <row r="8367" spans="1:7" ht="19.899999999999999" customHeight="1" x14ac:dyDescent="0.2">
      <c r="A8367" s="491" t="s">
        <v>577</v>
      </c>
      <c r="B8367" s="491" t="s">
        <v>578</v>
      </c>
      <c r="C8367" s="709"/>
      <c r="D8367" s="711"/>
      <c r="E8367" s="711"/>
      <c r="F8367" s="713"/>
      <c r="G8367" s="715"/>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28</v>
      </c>
      <c r="G8375" s="532">
        <f>SUBTOTAL(9,G8368:G8374)</f>
        <v>0</v>
      </c>
    </row>
    <row r="8376" spans="1:7" ht="19.899999999999999" customHeight="1" x14ac:dyDescent="0.2">
      <c r="A8376" s="527"/>
      <c r="B8376" s="175"/>
      <c r="C8376" s="469" t="s">
        <v>1014</v>
      </c>
      <c r="D8376" s="473"/>
      <c r="E8376" s="474"/>
      <c r="F8376" s="475"/>
      <c r="G8376" s="528"/>
    </row>
    <row r="8377" spans="1:7" ht="19.899999999999999" customHeight="1" x14ac:dyDescent="0.2">
      <c r="A8377" s="706" t="s">
        <v>576</v>
      </c>
      <c r="B8377" s="707"/>
      <c r="C8377" s="708" t="s">
        <v>0</v>
      </c>
      <c r="D8377" s="708" t="s">
        <v>1867</v>
      </c>
      <c r="E8377" s="710" t="s">
        <v>24</v>
      </c>
      <c r="F8377" s="712" t="s">
        <v>25</v>
      </c>
      <c r="G8377" s="714" t="s">
        <v>26</v>
      </c>
    </row>
    <row r="8378" spans="1:7" ht="19.899999999999999" customHeight="1" x14ac:dyDescent="0.2">
      <c r="A8378" s="491" t="s">
        <v>577</v>
      </c>
      <c r="B8378" s="491" t="s">
        <v>578</v>
      </c>
      <c r="C8378" s="709"/>
      <c r="D8378" s="709"/>
      <c r="E8378" s="711"/>
      <c r="F8378" s="713"/>
      <c r="G8378" s="715"/>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29</v>
      </c>
      <c r="G8390" s="532">
        <f>SUBTOTAL(9,G8379:G8389)</f>
        <v>0</v>
      </c>
    </row>
    <row r="8391" spans="1:7" ht="19.899999999999999" customHeight="1" x14ac:dyDescent="0.2">
      <c r="A8391" s="527"/>
      <c r="B8391" s="175"/>
      <c r="C8391" s="469" t="s">
        <v>1015</v>
      </c>
      <c r="D8391" s="473"/>
      <c r="E8391" s="474"/>
      <c r="F8391" s="475"/>
      <c r="G8391" s="528"/>
    </row>
    <row r="8392" spans="1:7" ht="19.899999999999999" customHeight="1" x14ac:dyDescent="0.2">
      <c r="A8392" s="706" t="s">
        <v>576</v>
      </c>
      <c r="B8392" s="707"/>
      <c r="C8392" s="708" t="s">
        <v>0</v>
      </c>
      <c r="D8392" s="708" t="s">
        <v>1867</v>
      </c>
      <c r="E8392" s="710" t="s">
        <v>24</v>
      </c>
      <c r="F8392" s="712" t="s">
        <v>25</v>
      </c>
      <c r="G8392" s="714" t="s">
        <v>26</v>
      </c>
    </row>
    <row r="8393" spans="1:7" ht="19.899999999999999" customHeight="1" x14ac:dyDescent="0.2">
      <c r="A8393" s="491" t="s">
        <v>577</v>
      </c>
      <c r="B8393" s="491" t="s">
        <v>578</v>
      </c>
      <c r="C8393" s="709"/>
      <c r="D8393" s="709"/>
      <c r="E8393" s="711"/>
      <c r="F8393" s="713"/>
      <c r="G8393" s="715"/>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1016</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1833</v>
      </c>
      <c r="E8398" s="586"/>
      <c r="F8398" s="587" t="str">
        <f ca="1">"$/"&amp;G8332</f>
        <v>$/0</v>
      </c>
      <c r="G8398" s="537">
        <f>SUBTOTAL(9,G8355:G8397)</f>
        <v>0</v>
      </c>
    </row>
    <row r="8399" spans="1:7" ht="19.899999999999999" customHeight="1" x14ac:dyDescent="0.2">
      <c r="A8399" s="533"/>
      <c r="B8399" s="534"/>
      <c r="C8399" s="535"/>
      <c r="D8399" s="535" t="s">
        <v>2043</v>
      </c>
      <c r="E8399" s="536"/>
      <c r="F8399" s="589" t="str">
        <f ca="1">"$/"&amp;G8332</f>
        <v>$/0</v>
      </c>
      <c r="G8399" s="537">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16" t="s">
        <v>31</v>
      </c>
      <c r="B8401" s="717"/>
      <c r="C8401" s="717"/>
      <c r="D8401" s="717"/>
      <c r="E8401" s="717"/>
      <c r="F8401" s="717"/>
      <c r="G8401" s="718"/>
    </row>
    <row r="8402" spans="1:7" ht="19.899999999999999" customHeight="1" x14ac:dyDescent="0.2">
      <c r="A8402" s="516" t="s">
        <v>711</v>
      </c>
      <c r="B8402" s="467" t="str">
        <f>Comitente</f>
        <v>DIRECCIÓN PROVINCIAL DE VIALIDAD</v>
      </c>
      <c r="C8402" s="468"/>
      <c r="D8402" s="469"/>
      <c r="E8402" s="469"/>
      <c r="F8402" s="470"/>
      <c r="G8402" s="517"/>
    </row>
    <row r="8403" spans="1:7" ht="19.899999999999999" customHeight="1" x14ac:dyDescent="0.2">
      <c r="A8403" s="516" t="s">
        <v>712</v>
      </c>
      <c r="B8403" s="467">
        <f>Contratista</f>
        <v>0</v>
      </c>
      <c r="C8403" s="471"/>
      <c r="D8403" s="471"/>
      <c r="E8403" s="471"/>
      <c r="F8403" s="467"/>
      <c r="G8403" s="518"/>
    </row>
    <row r="8404" spans="1:7" ht="19.899999999999999" customHeight="1" x14ac:dyDescent="0.2">
      <c r="A8404" s="516" t="s">
        <v>21</v>
      </c>
      <c r="B8404" s="467" t="str">
        <f>Obra</f>
        <v>OBRA BÁSICA Y PAVIMENTACIÓN CALLE GÜEMES</v>
      </c>
      <c r="C8404" s="471"/>
      <c r="D8404" s="471"/>
      <c r="E8404" s="471"/>
      <c r="F8404" s="467" t="s">
        <v>32</v>
      </c>
      <c r="G8404" s="518">
        <f>Fecha_Base</f>
        <v>0</v>
      </c>
    </row>
    <row r="8405" spans="1:7" ht="19.899999999999999" customHeight="1" x14ac:dyDescent="0.2">
      <c r="A8405" s="519" t="s">
        <v>710</v>
      </c>
      <c r="B8405" s="472" t="str">
        <f>Ubicación</f>
        <v>Rawson - Santa Lucia</v>
      </c>
      <c r="C8405" s="472"/>
      <c r="D8405" s="473"/>
      <c r="E8405" s="474"/>
      <c r="F8405" s="475"/>
      <c r="G8405" s="520"/>
    </row>
    <row r="8406" spans="1:7" ht="19.899999999999999" customHeight="1" x14ac:dyDescent="0.2">
      <c r="A8406" s="519" t="s">
        <v>33</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22</v>
      </c>
      <c r="B8407" s="477" t="str">
        <f>IFERROR(VLOOKUP(COUNTIF($A$1:A8407,"ANALISIS DE PRECIOS"),T_NumeroItem,2,FALSE),"")</f>
        <v/>
      </c>
      <c r="C8407" s="719">
        <f ca="1">IFERROR(VLOOKUP(B8407,T_Computo_Presupuesto,2,FALSE),0)</f>
        <v>0</v>
      </c>
      <c r="D8407" s="719"/>
      <c r="E8407" s="719"/>
      <c r="F8407" s="472" t="s">
        <v>23</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999</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1000</v>
      </c>
      <c r="D8411" s="482" t="s">
        <v>24</v>
      </c>
      <c r="E8411" s="482" t="s">
        <v>1001</v>
      </c>
      <c r="F8411" s="482" t="s">
        <v>1002</v>
      </c>
      <c r="G8411" s="481" t="s">
        <v>1003</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1004</v>
      </c>
      <c r="D8423" s="472" t="s">
        <v>1001</v>
      </c>
      <c r="E8423" s="538">
        <f>SUMPRODUCT(D8412:D8421,E8412:E8421)</f>
        <v>0</v>
      </c>
      <c r="F8423" s="472" t="s">
        <v>1005</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1006</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06" t="s">
        <v>576</v>
      </c>
      <c r="B8427" s="707"/>
      <c r="C8427" s="708" t="s">
        <v>0</v>
      </c>
      <c r="D8427" s="720" t="s">
        <v>1866</v>
      </c>
      <c r="E8427" s="720" t="s">
        <v>1865</v>
      </c>
      <c r="F8427" s="712" t="s">
        <v>1007</v>
      </c>
      <c r="G8427" s="714" t="s">
        <v>26</v>
      </c>
    </row>
    <row r="8428" spans="1:7" ht="19.899999999999999" customHeight="1" x14ac:dyDescent="0.2">
      <c r="A8428" s="491" t="s">
        <v>577</v>
      </c>
      <c r="B8428" s="491" t="s">
        <v>578</v>
      </c>
      <c r="C8428" s="709"/>
      <c r="D8428" s="721"/>
      <c r="E8428" s="711"/>
      <c r="F8428" s="713"/>
      <c r="G8428" s="715"/>
    </row>
    <row r="8429" spans="1:7" ht="19.899999999999999" customHeight="1" x14ac:dyDescent="0.2">
      <c r="A8429" s="527"/>
      <c r="B8429" s="175"/>
      <c r="C8429" s="469" t="s">
        <v>1008</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27</v>
      </c>
      <c r="G8439" s="531">
        <f>SUBTOTAL(9,G8430:G8438)</f>
        <v>0</v>
      </c>
    </row>
    <row r="8440" spans="1:7" ht="19.899999999999999" customHeight="1" x14ac:dyDescent="0.2">
      <c r="A8440" s="527"/>
      <c r="B8440" s="175"/>
      <c r="C8440" s="469" t="s">
        <v>713</v>
      </c>
      <c r="D8440" s="473"/>
      <c r="E8440" s="474"/>
      <c r="F8440" s="475"/>
      <c r="G8440" s="528"/>
    </row>
    <row r="8441" spans="1:7" ht="19.899999999999999" customHeight="1" x14ac:dyDescent="0.2">
      <c r="A8441" s="706" t="s">
        <v>576</v>
      </c>
      <c r="B8441" s="707"/>
      <c r="C8441" s="708" t="s">
        <v>0</v>
      </c>
      <c r="D8441" s="710" t="s">
        <v>24</v>
      </c>
      <c r="E8441" s="710" t="s">
        <v>1832</v>
      </c>
      <c r="F8441" s="712" t="s">
        <v>1007</v>
      </c>
      <c r="G8441" s="714" t="s">
        <v>26</v>
      </c>
    </row>
    <row r="8442" spans="1:7" ht="19.899999999999999" customHeight="1" x14ac:dyDescent="0.2">
      <c r="A8442" s="491" t="s">
        <v>577</v>
      </c>
      <c r="B8442" s="491" t="s">
        <v>578</v>
      </c>
      <c r="C8442" s="709"/>
      <c r="D8442" s="711"/>
      <c r="E8442" s="711"/>
      <c r="F8442" s="713"/>
      <c r="G8442" s="715"/>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28</v>
      </c>
      <c r="G8450" s="532">
        <f>SUBTOTAL(9,G8443:G8449)</f>
        <v>0</v>
      </c>
    </row>
    <row r="8451" spans="1:7" ht="19.899999999999999" customHeight="1" x14ac:dyDescent="0.2">
      <c r="A8451" s="527"/>
      <c r="B8451" s="175"/>
      <c r="C8451" s="469" t="s">
        <v>1014</v>
      </c>
      <c r="D8451" s="473"/>
      <c r="E8451" s="474"/>
      <c r="F8451" s="475"/>
      <c r="G8451" s="528"/>
    </row>
    <row r="8452" spans="1:7" ht="19.899999999999999" customHeight="1" x14ac:dyDescent="0.2">
      <c r="A8452" s="706" t="s">
        <v>576</v>
      </c>
      <c r="B8452" s="707"/>
      <c r="C8452" s="708" t="s">
        <v>0</v>
      </c>
      <c r="D8452" s="708" t="s">
        <v>1867</v>
      </c>
      <c r="E8452" s="710" t="s">
        <v>24</v>
      </c>
      <c r="F8452" s="712" t="s">
        <v>25</v>
      </c>
      <c r="G8452" s="714" t="s">
        <v>26</v>
      </c>
    </row>
    <row r="8453" spans="1:7" ht="19.899999999999999" customHeight="1" x14ac:dyDescent="0.2">
      <c r="A8453" s="491" t="s">
        <v>577</v>
      </c>
      <c r="B8453" s="491" t="s">
        <v>578</v>
      </c>
      <c r="C8453" s="709"/>
      <c r="D8453" s="709"/>
      <c r="E8453" s="711"/>
      <c r="F8453" s="713"/>
      <c r="G8453" s="715"/>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29</v>
      </c>
      <c r="G8465" s="532">
        <f>SUBTOTAL(9,G8454:G8464)</f>
        <v>0</v>
      </c>
    </row>
    <row r="8466" spans="1:7" ht="19.899999999999999" customHeight="1" x14ac:dyDescent="0.2">
      <c r="A8466" s="527"/>
      <c r="B8466" s="175"/>
      <c r="C8466" s="469" t="s">
        <v>1015</v>
      </c>
      <c r="D8466" s="473"/>
      <c r="E8466" s="474"/>
      <c r="F8466" s="475"/>
      <c r="G8466" s="528"/>
    </row>
    <row r="8467" spans="1:7" ht="19.899999999999999" customHeight="1" x14ac:dyDescent="0.2">
      <c r="A8467" s="706" t="s">
        <v>576</v>
      </c>
      <c r="B8467" s="707"/>
      <c r="C8467" s="708" t="s">
        <v>0</v>
      </c>
      <c r="D8467" s="708" t="s">
        <v>1867</v>
      </c>
      <c r="E8467" s="710" t="s">
        <v>24</v>
      </c>
      <c r="F8467" s="712" t="s">
        <v>25</v>
      </c>
      <c r="G8467" s="714" t="s">
        <v>26</v>
      </c>
    </row>
    <row r="8468" spans="1:7" ht="19.899999999999999" customHeight="1" x14ac:dyDescent="0.2">
      <c r="A8468" s="491" t="s">
        <v>577</v>
      </c>
      <c r="B8468" s="491" t="s">
        <v>578</v>
      </c>
      <c r="C8468" s="709"/>
      <c r="D8468" s="709"/>
      <c r="E8468" s="711"/>
      <c r="F8468" s="713"/>
      <c r="G8468" s="715"/>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1016</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1833</v>
      </c>
      <c r="E8473" s="586"/>
      <c r="F8473" s="587" t="str">
        <f ca="1">"$/"&amp;G8407</f>
        <v>$/0</v>
      </c>
      <c r="G8473" s="537">
        <f>SUBTOTAL(9,G8430:G8472)</f>
        <v>0</v>
      </c>
    </row>
    <row r="8474" spans="1:7" ht="19.899999999999999" customHeight="1" x14ac:dyDescent="0.2">
      <c r="A8474" s="533"/>
      <c r="B8474" s="534"/>
      <c r="C8474" s="535"/>
      <c r="D8474" s="535" t="s">
        <v>2043</v>
      </c>
      <c r="E8474" s="536"/>
      <c r="F8474" s="589" t="str">
        <f ca="1">"$/"&amp;G8407</f>
        <v>$/0</v>
      </c>
      <c r="G8474" s="537">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16" t="s">
        <v>31</v>
      </c>
      <c r="B8476" s="717"/>
      <c r="C8476" s="717"/>
      <c r="D8476" s="717"/>
      <c r="E8476" s="717"/>
      <c r="F8476" s="717"/>
      <c r="G8476" s="718"/>
    </row>
    <row r="8477" spans="1:7" ht="19.899999999999999" customHeight="1" x14ac:dyDescent="0.2">
      <c r="A8477" s="516" t="s">
        <v>711</v>
      </c>
      <c r="B8477" s="467" t="str">
        <f>Comitente</f>
        <v>DIRECCIÓN PROVINCIAL DE VIALIDAD</v>
      </c>
      <c r="C8477" s="468"/>
      <c r="D8477" s="469"/>
      <c r="E8477" s="469"/>
      <c r="F8477" s="470"/>
      <c r="G8477" s="517"/>
    </row>
    <row r="8478" spans="1:7" ht="19.899999999999999" customHeight="1" x14ac:dyDescent="0.2">
      <c r="A8478" s="516" t="s">
        <v>712</v>
      </c>
      <c r="B8478" s="467">
        <f>Contratista</f>
        <v>0</v>
      </c>
      <c r="C8478" s="471"/>
      <c r="D8478" s="471"/>
      <c r="E8478" s="471"/>
      <c r="F8478" s="467"/>
      <c r="G8478" s="518"/>
    </row>
    <row r="8479" spans="1:7" ht="19.899999999999999" customHeight="1" x14ac:dyDescent="0.2">
      <c r="A8479" s="516" t="s">
        <v>21</v>
      </c>
      <c r="B8479" s="467" t="str">
        <f>Obra</f>
        <v>OBRA BÁSICA Y PAVIMENTACIÓN CALLE GÜEMES</v>
      </c>
      <c r="C8479" s="471"/>
      <c r="D8479" s="471"/>
      <c r="E8479" s="471"/>
      <c r="F8479" s="467" t="s">
        <v>32</v>
      </c>
      <c r="G8479" s="518">
        <f>Fecha_Base</f>
        <v>0</v>
      </c>
    </row>
    <row r="8480" spans="1:7" ht="19.899999999999999" customHeight="1" x14ac:dyDescent="0.2">
      <c r="A8480" s="519" t="s">
        <v>710</v>
      </c>
      <c r="B8480" s="472" t="str">
        <f>Ubicación</f>
        <v>Rawson - Santa Lucia</v>
      </c>
      <c r="C8480" s="472"/>
      <c r="D8480" s="473"/>
      <c r="E8480" s="474"/>
      <c r="F8480" s="475"/>
      <c r="G8480" s="520"/>
    </row>
    <row r="8481" spans="1:7" ht="19.899999999999999" customHeight="1" x14ac:dyDescent="0.2">
      <c r="A8481" s="519" t="s">
        <v>33</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22</v>
      </c>
      <c r="B8482" s="477" t="str">
        <f>IFERROR(VLOOKUP(COUNTIF($A$1:A8482,"ANALISIS DE PRECIOS"),T_NumeroItem,2,FALSE),"")</f>
        <v/>
      </c>
      <c r="C8482" s="719">
        <f ca="1">IFERROR(VLOOKUP(B8482,T_Computo_Presupuesto,2,FALSE),0)</f>
        <v>0</v>
      </c>
      <c r="D8482" s="719"/>
      <c r="E8482" s="719"/>
      <c r="F8482" s="472" t="s">
        <v>23</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999</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1000</v>
      </c>
      <c r="D8486" s="482" t="s">
        <v>24</v>
      </c>
      <c r="E8486" s="482" t="s">
        <v>1001</v>
      </c>
      <c r="F8486" s="482" t="s">
        <v>1002</v>
      </c>
      <c r="G8486" s="481" t="s">
        <v>1003</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1004</v>
      </c>
      <c r="D8498" s="472" t="s">
        <v>1001</v>
      </c>
      <c r="E8498" s="538">
        <f>SUMPRODUCT(D8487:D8496,E8487:E8496)</f>
        <v>0</v>
      </c>
      <c r="F8498" s="472" t="s">
        <v>1005</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1006</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06" t="s">
        <v>576</v>
      </c>
      <c r="B8502" s="707"/>
      <c r="C8502" s="708" t="s">
        <v>0</v>
      </c>
      <c r="D8502" s="720" t="s">
        <v>1866</v>
      </c>
      <c r="E8502" s="720" t="s">
        <v>1865</v>
      </c>
      <c r="F8502" s="712" t="s">
        <v>1007</v>
      </c>
      <c r="G8502" s="714" t="s">
        <v>26</v>
      </c>
    </row>
    <row r="8503" spans="1:7" ht="19.899999999999999" customHeight="1" x14ac:dyDescent="0.2">
      <c r="A8503" s="491" t="s">
        <v>577</v>
      </c>
      <c r="B8503" s="491" t="s">
        <v>578</v>
      </c>
      <c r="C8503" s="709"/>
      <c r="D8503" s="721"/>
      <c r="E8503" s="711"/>
      <c r="F8503" s="713"/>
      <c r="G8503" s="715"/>
    </row>
    <row r="8504" spans="1:7" ht="19.899999999999999" customHeight="1" x14ac:dyDescent="0.2">
      <c r="A8504" s="527"/>
      <c r="B8504" s="175"/>
      <c r="C8504" s="469" t="s">
        <v>1008</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27</v>
      </c>
      <c r="G8514" s="531">
        <f>SUBTOTAL(9,G8505:G8513)</f>
        <v>0</v>
      </c>
    </row>
    <row r="8515" spans="1:7" ht="19.899999999999999" customHeight="1" x14ac:dyDescent="0.2">
      <c r="A8515" s="527"/>
      <c r="B8515" s="175"/>
      <c r="C8515" s="469" t="s">
        <v>713</v>
      </c>
      <c r="D8515" s="473"/>
      <c r="E8515" s="474"/>
      <c r="F8515" s="475"/>
      <c r="G8515" s="528"/>
    </row>
    <row r="8516" spans="1:7" ht="19.899999999999999" customHeight="1" x14ac:dyDescent="0.2">
      <c r="A8516" s="706" t="s">
        <v>576</v>
      </c>
      <c r="B8516" s="707"/>
      <c r="C8516" s="708" t="s">
        <v>0</v>
      </c>
      <c r="D8516" s="710" t="s">
        <v>24</v>
      </c>
      <c r="E8516" s="710" t="s">
        <v>1832</v>
      </c>
      <c r="F8516" s="712" t="s">
        <v>1007</v>
      </c>
      <c r="G8516" s="714" t="s">
        <v>26</v>
      </c>
    </row>
    <row r="8517" spans="1:7" ht="19.899999999999999" customHeight="1" x14ac:dyDescent="0.2">
      <c r="A8517" s="491" t="s">
        <v>577</v>
      </c>
      <c r="B8517" s="491" t="s">
        <v>578</v>
      </c>
      <c r="C8517" s="709"/>
      <c r="D8517" s="711"/>
      <c r="E8517" s="711"/>
      <c r="F8517" s="713"/>
      <c r="G8517" s="715"/>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28</v>
      </c>
      <c r="G8525" s="532">
        <f>SUBTOTAL(9,G8518:G8524)</f>
        <v>0</v>
      </c>
    </row>
    <row r="8526" spans="1:7" ht="19.899999999999999" customHeight="1" x14ac:dyDescent="0.2">
      <c r="A8526" s="527"/>
      <c r="B8526" s="175"/>
      <c r="C8526" s="469" t="s">
        <v>1014</v>
      </c>
      <c r="D8526" s="473"/>
      <c r="E8526" s="474"/>
      <c r="F8526" s="475"/>
      <c r="G8526" s="528"/>
    </row>
    <row r="8527" spans="1:7" ht="19.899999999999999" customHeight="1" x14ac:dyDescent="0.2">
      <c r="A8527" s="706" t="s">
        <v>576</v>
      </c>
      <c r="B8527" s="707"/>
      <c r="C8527" s="708" t="s">
        <v>0</v>
      </c>
      <c r="D8527" s="708" t="s">
        <v>1867</v>
      </c>
      <c r="E8527" s="710" t="s">
        <v>24</v>
      </c>
      <c r="F8527" s="712" t="s">
        <v>25</v>
      </c>
      <c r="G8527" s="714" t="s">
        <v>26</v>
      </c>
    </row>
    <row r="8528" spans="1:7" ht="19.899999999999999" customHeight="1" x14ac:dyDescent="0.2">
      <c r="A8528" s="491" t="s">
        <v>577</v>
      </c>
      <c r="B8528" s="491" t="s">
        <v>578</v>
      </c>
      <c r="C8528" s="709"/>
      <c r="D8528" s="709"/>
      <c r="E8528" s="711"/>
      <c r="F8528" s="713"/>
      <c r="G8528" s="715"/>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29</v>
      </c>
      <c r="G8540" s="532">
        <f>SUBTOTAL(9,G8529:G8539)</f>
        <v>0</v>
      </c>
    </row>
    <row r="8541" spans="1:7" ht="19.899999999999999" customHeight="1" x14ac:dyDescent="0.2">
      <c r="A8541" s="527"/>
      <c r="B8541" s="175"/>
      <c r="C8541" s="469" t="s">
        <v>1015</v>
      </c>
      <c r="D8541" s="473"/>
      <c r="E8541" s="474"/>
      <c r="F8541" s="475"/>
      <c r="G8541" s="528"/>
    </row>
    <row r="8542" spans="1:7" ht="19.899999999999999" customHeight="1" x14ac:dyDescent="0.2">
      <c r="A8542" s="706" t="s">
        <v>576</v>
      </c>
      <c r="B8542" s="707"/>
      <c r="C8542" s="708" t="s">
        <v>0</v>
      </c>
      <c r="D8542" s="708" t="s">
        <v>1867</v>
      </c>
      <c r="E8542" s="710" t="s">
        <v>24</v>
      </c>
      <c r="F8542" s="712" t="s">
        <v>25</v>
      </c>
      <c r="G8542" s="714" t="s">
        <v>26</v>
      </c>
    </row>
    <row r="8543" spans="1:7" ht="19.899999999999999" customHeight="1" x14ac:dyDescent="0.2">
      <c r="A8543" s="491" t="s">
        <v>577</v>
      </c>
      <c r="B8543" s="491" t="s">
        <v>578</v>
      </c>
      <c r="C8543" s="709"/>
      <c r="D8543" s="709"/>
      <c r="E8543" s="711"/>
      <c r="F8543" s="713"/>
      <c r="G8543" s="715"/>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1016</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1833</v>
      </c>
      <c r="E8548" s="586"/>
      <c r="F8548" s="587" t="str">
        <f ca="1">"$/"&amp;G8482</f>
        <v>$/0</v>
      </c>
      <c r="G8548" s="537">
        <f>SUBTOTAL(9,G8505:G8547)</f>
        <v>0</v>
      </c>
    </row>
    <row r="8549" spans="1:7" ht="19.899999999999999" customHeight="1" x14ac:dyDescent="0.2">
      <c r="A8549" s="533"/>
      <c r="B8549" s="534"/>
      <c r="C8549" s="535"/>
      <c r="D8549" s="535" t="s">
        <v>2043</v>
      </c>
      <c r="E8549" s="536"/>
      <c r="F8549" s="589" t="str">
        <f ca="1">"$/"&amp;G8482</f>
        <v>$/0</v>
      </c>
      <c r="G8549" s="537">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16" t="s">
        <v>31</v>
      </c>
      <c r="B8551" s="717"/>
      <c r="C8551" s="717"/>
      <c r="D8551" s="717"/>
      <c r="E8551" s="717"/>
      <c r="F8551" s="717"/>
      <c r="G8551" s="718"/>
    </row>
    <row r="8552" spans="1:7" ht="19.899999999999999" customHeight="1" x14ac:dyDescent="0.2">
      <c r="A8552" s="516" t="s">
        <v>711</v>
      </c>
      <c r="B8552" s="467" t="str">
        <f>Comitente</f>
        <v>DIRECCIÓN PROVINCIAL DE VIALIDAD</v>
      </c>
      <c r="C8552" s="468"/>
      <c r="D8552" s="469"/>
      <c r="E8552" s="469"/>
      <c r="F8552" s="470"/>
      <c r="G8552" s="517"/>
    </row>
    <row r="8553" spans="1:7" ht="19.899999999999999" customHeight="1" x14ac:dyDescent="0.2">
      <c r="A8553" s="516" t="s">
        <v>712</v>
      </c>
      <c r="B8553" s="467">
        <f>Contratista</f>
        <v>0</v>
      </c>
      <c r="C8553" s="471"/>
      <c r="D8553" s="471"/>
      <c r="E8553" s="471"/>
      <c r="F8553" s="467"/>
      <c r="G8553" s="518"/>
    </row>
    <row r="8554" spans="1:7" ht="19.899999999999999" customHeight="1" x14ac:dyDescent="0.2">
      <c r="A8554" s="516" t="s">
        <v>21</v>
      </c>
      <c r="B8554" s="467" t="str">
        <f>Obra</f>
        <v>OBRA BÁSICA Y PAVIMENTACIÓN CALLE GÜEMES</v>
      </c>
      <c r="C8554" s="471"/>
      <c r="D8554" s="471"/>
      <c r="E8554" s="471"/>
      <c r="F8554" s="467" t="s">
        <v>32</v>
      </c>
      <c r="G8554" s="518">
        <f>Fecha_Base</f>
        <v>0</v>
      </c>
    </row>
    <row r="8555" spans="1:7" ht="19.899999999999999" customHeight="1" x14ac:dyDescent="0.2">
      <c r="A8555" s="519" t="s">
        <v>710</v>
      </c>
      <c r="B8555" s="472" t="str">
        <f>Ubicación</f>
        <v>Rawson - Santa Lucia</v>
      </c>
      <c r="C8555" s="472"/>
      <c r="D8555" s="473"/>
      <c r="E8555" s="474"/>
      <c r="F8555" s="475"/>
      <c r="G8555" s="520"/>
    </row>
    <row r="8556" spans="1:7" ht="19.899999999999999" customHeight="1" x14ac:dyDescent="0.2">
      <c r="A8556" s="519" t="s">
        <v>33</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22</v>
      </c>
      <c r="B8557" s="477" t="str">
        <f>IFERROR(VLOOKUP(COUNTIF($A$1:A8557,"ANALISIS DE PRECIOS"),T_NumeroItem,2,FALSE),"")</f>
        <v/>
      </c>
      <c r="C8557" s="719">
        <f ca="1">IFERROR(VLOOKUP(B8557,T_Computo_Presupuesto,2,FALSE),0)</f>
        <v>0</v>
      </c>
      <c r="D8557" s="719"/>
      <c r="E8557" s="719"/>
      <c r="F8557" s="472" t="s">
        <v>23</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999</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1000</v>
      </c>
      <c r="D8561" s="482" t="s">
        <v>24</v>
      </c>
      <c r="E8561" s="482" t="s">
        <v>1001</v>
      </c>
      <c r="F8561" s="482" t="s">
        <v>1002</v>
      </c>
      <c r="G8561" s="481" t="s">
        <v>1003</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1004</v>
      </c>
      <c r="D8573" s="472" t="s">
        <v>1001</v>
      </c>
      <c r="E8573" s="538">
        <f>SUMPRODUCT(D8562:D8571,E8562:E8571)</f>
        <v>0</v>
      </c>
      <c r="F8573" s="472" t="s">
        <v>1005</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1006</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06" t="s">
        <v>576</v>
      </c>
      <c r="B8577" s="707"/>
      <c r="C8577" s="708" t="s">
        <v>0</v>
      </c>
      <c r="D8577" s="720" t="s">
        <v>1866</v>
      </c>
      <c r="E8577" s="720" t="s">
        <v>1865</v>
      </c>
      <c r="F8577" s="712" t="s">
        <v>1007</v>
      </c>
      <c r="G8577" s="714" t="s">
        <v>26</v>
      </c>
    </row>
    <row r="8578" spans="1:7" ht="19.899999999999999" customHeight="1" x14ac:dyDescent="0.2">
      <c r="A8578" s="491" t="s">
        <v>577</v>
      </c>
      <c r="B8578" s="491" t="s">
        <v>578</v>
      </c>
      <c r="C8578" s="709"/>
      <c r="D8578" s="721"/>
      <c r="E8578" s="711"/>
      <c r="F8578" s="713"/>
      <c r="G8578" s="715"/>
    </row>
    <row r="8579" spans="1:7" ht="19.899999999999999" customHeight="1" x14ac:dyDescent="0.2">
      <c r="A8579" s="527"/>
      <c r="B8579" s="175"/>
      <c r="C8579" s="469" t="s">
        <v>1008</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27</v>
      </c>
      <c r="G8589" s="531">
        <f>SUBTOTAL(9,G8580:G8588)</f>
        <v>0</v>
      </c>
    </row>
    <row r="8590" spans="1:7" ht="19.899999999999999" customHeight="1" x14ac:dyDescent="0.2">
      <c r="A8590" s="527"/>
      <c r="B8590" s="175"/>
      <c r="C8590" s="469" t="s">
        <v>713</v>
      </c>
      <c r="D8590" s="473"/>
      <c r="E8590" s="474"/>
      <c r="F8590" s="475"/>
      <c r="G8590" s="528"/>
    </row>
    <row r="8591" spans="1:7" ht="19.899999999999999" customHeight="1" x14ac:dyDescent="0.2">
      <c r="A8591" s="706" t="s">
        <v>576</v>
      </c>
      <c r="B8591" s="707"/>
      <c r="C8591" s="708" t="s">
        <v>0</v>
      </c>
      <c r="D8591" s="710" t="s">
        <v>24</v>
      </c>
      <c r="E8591" s="710" t="s">
        <v>1832</v>
      </c>
      <c r="F8591" s="712" t="s">
        <v>1007</v>
      </c>
      <c r="G8591" s="714" t="s">
        <v>26</v>
      </c>
    </row>
    <row r="8592" spans="1:7" ht="19.899999999999999" customHeight="1" x14ac:dyDescent="0.2">
      <c r="A8592" s="491" t="s">
        <v>577</v>
      </c>
      <c r="B8592" s="491" t="s">
        <v>578</v>
      </c>
      <c r="C8592" s="709"/>
      <c r="D8592" s="711"/>
      <c r="E8592" s="711"/>
      <c r="F8592" s="713"/>
      <c r="G8592" s="715"/>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28</v>
      </c>
      <c r="G8600" s="532">
        <f>SUBTOTAL(9,G8593:G8599)</f>
        <v>0</v>
      </c>
    </row>
    <row r="8601" spans="1:7" ht="19.899999999999999" customHeight="1" x14ac:dyDescent="0.2">
      <c r="A8601" s="527"/>
      <c r="B8601" s="175"/>
      <c r="C8601" s="469" t="s">
        <v>1014</v>
      </c>
      <c r="D8601" s="473"/>
      <c r="E8601" s="474"/>
      <c r="F8601" s="475"/>
      <c r="G8601" s="528"/>
    </row>
    <row r="8602" spans="1:7" ht="19.899999999999999" customHeight="1" x14ac:dyDescent="0.2">
      <c r="A8602" s="706" t="s">
        <v>576</v>
      </c>
      <c r="B8602" s="707"/>
      <c r="C8602" s="708" t="s">
        <v>0</v>
      </c>
      <c r="D8602" s="708" t="s">
        <v>1867</v>
      </c>
      <c r="E8602" s="710" t="s">
        <v>24</v>
      </c>
      <c r="F8602" s="712" t="s">
        <v>25</v>
      </c>
      <c r="G8602" s="714" t="s">
        <v>26</v>
      </c>
    </row>
    <row r="8603" spans="1:7" ht="19.899999999999999" customHeight="1" x14ac:dyDescent="0.2">
      <c r="A8603" s="491" t="s">
        <v>577</v>
      </c>
      <c r="B8603" s="491" t="s">
        <v>578</v>
      </c>
      <c r="C8603" s="709"/>
      <c r="D8603" s="709"/>
      <c r="E8603" s="711"/>
      <c r="F8603" s="713"/>
      <c r="G8603" s="715"/>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29</v>
      </c>
      <c r="G8615" s="532">
        <f>SUBTOTAL(9,G8604:G8614)</f>
        <v>0</v>
      </c>
    </row>
    <row r="8616" spans="1:7" ht="19.899999999999999" customHeight="1" x14ac:dyDescent="0.2">
      <c r="A8616" s="527"/>
      <c r="B8616" s="175"/>
      <c r="C8616" s="469" t="s">
        <v>1015</v>
      </c>
      <c r="D8616" s="473"/>
      <c r="E8616" s="474"/>
      <c r="F8616" s="475"/>
      <c r="G8616" s="528"/>
    </row>
    <row r="8617" spans="1:7" ht="19.899999999999999" customHeight="1" x14ac:dyDescent="0.2">
      <c r="A8617" s="706" t="s">
        <v>576</v>
      </c>
      <c r="B8617" s="707"/>
      <c r="C8617" s="708" t="s">
        <v>0</v>
      </c>
      <c r="D8617" s="708" t="s">
        <v>1867</v>
      </c>
      <c r="E8617" s="710" t="s">
        <v>24</v>
      </c>
      <c r="F8617" s="712" t="s">
        <v>25</v>
      </c>
      <c r="G8617" s="714" t="s">
        <v>26</v>
      </c>
    </row>
    <row r="8618" spans="1:7" ht="19.899999999999999" customHeight="1" x14ac:dyDescent="0.2">
      <c r="A8618" s="491" t="s">
        <v>577</v>
      </c>
      <c r="B8618" s="491" t="s">
        <v>578</v>
      </c>
      <c r="C8618" s="709"/>
      <c r="D8618" s="709"/>
      <c r="E8618" s="711"/>
      <c r="F8618" s="713"/>
      <c r="G8618" s="715"/>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1016</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1833</v>
      </c>
      <c r="E8623" s="586"/>
      <c r="F8623" s="587" t="str">
        <f ca="1">"$/"&amp;G8557</f>
        <v>$/0</v>
      </c>
      <c r="G8623" s="537">
        <f>SUBTOTAL(9,G8580:G8622)</f>
        <v>0</v>
      </c>
    </row>
    <row r="8624" spans="1:7" ht="19.899999999999999" customHeight="1" x14ac:dyDescent="0.2">
      <c r="A8624" s="533"/>
      <c r="B8624" s="534"/>
      <c r="C8624" s="535"/>
      <c r="D8624" s="535" t="s">
        <v>2043</v>
      </c>
      <c r="E8624" s="536"/>
      <c r="F8624" s="589" t="str">
        <f ca="1">"$/"&amp;G8557</f>
        <v>$/0</v>
      </c>
      <c r="G8624" s="537">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16" t="s">
        <v>31</v>
      </c>
      <c r="B8626" s="717"/>
      <c r="C8626" s="717"/>
      <c r="D8626" s="717"/>
      <c r="E8626" s="717"/>
      <c r="F8626" s="717"/>
      <c r="G8626" s="718"/>
    </row>
    <row r="8627" spans="1:7" ht="19.899999999999999" customHeight="1" x14ac:dyDescent="0.2">
      <c r="A8627" s="516" t="s">
        <v>711</v>
      </c>
      <c r="B8627" s="467" t="str">
        <f>Comitente</f>
        <v>DIRECCIÓN PROVINCIAL DE VIALIDAD</v>
      </c>
      <c r="C8627" s="468"/>
      <c r="D8627" s="469"/>
      <c r="E8627" s="469"/>
      <c r="F8627" s="470"/>
      <c r="G8627" s="517"/>
    </row>
    <row r="8628" spans="1:7" ht="19.899999999999999" customHeight="1" x14ac:dyDescent="0.2">
      <c r="A8628" s="516" t="s">
        <v>712</v>
      </c>
      <c r="B8628" s="467">
        <f>Contratista</f>
        <v>0</v>
      </c>
      <c r="C8628" s="471"/>
      <c r="D8628" s="471"/>
      <c r="E8628" s="471"/>
      <c r="F8628" s="467"/>
      <c r="G8628" s="518"/>
    </row>
    <row r="8629" spans="1:7" ht="19.899999999999999" customHeight="1" x14ac:dyDescent="0.2">
      <c r="A8629" s="516" t="s">
        <v>21</v>
      </c>
      <c r="B8629" s="467" t="str">
        <f>Obra</f>
        <v>OBRA BÁSICA Y PAVIMENTACIÓN CALLE GÜEMES</v>
      </c>
      <c r="C8629" s="471"/>
      <c r="D8629" s="471"/>
      <c r="E8629" s="471"/>
      <c r="F8629" s="467" t="s">
        <v>32</v>
      </c>
      <c r="G8629" s="518">
        <f>Fecha_Base</f>
        <v>0</v>
      </c>
    </row>
    <row r="8630" spans="1:7" ht="19.899999999999999" customHeight="1" x14ac:dyDescent="0.2">
      <c r="A8630" s="519" t="s">
        <v>710</v>
      </c>
      <c r="B8630" s="472" t="str">
        <f>Ubicación</f>
        <v>Rawson - Santa Lucia</v>
      </c>
      <c r="C8630" s="472"/>
      <c r="D8630" s="473"/>
      <c r="E8630" s="474"/>
      <c r="F8630" s="475"/>
      <c r="G8630" s="520"/>
    </row>
    <row r="8631" spans="1:7" ht="19.899999999999999" customHeight="1" x14ac:dyDescent="0.2">
      <c r="A8631" s="519" t="s">
        <v>33</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22</v>
      </c>
      <c r="B8632" s="477" t="str">
        <f>IFERROR(VLOOKUP(COUNTIF($A$1:A8632,"ANALISIS DE PRECIOS"),T_NumeroItem,2,FALSE),"")</f>
        <v/>
      </c>
      <c r="C8632" s="719">
        <f ca="1">IFERROR(VLOOKUP(B8632,T_Computo_Presupuesto,2,FALSE),0)</f>
        <v>0</v>
      </c>
      <c r="D8632" s="719"/>
      <c r="E8632" s="719"/>
      <c r="F8632" s="472" t="s">
        <v>23</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999</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1000</v>
      </c>
      <c r="D8636" s="482" t="s">
        <v>24</v>
      </c>
      <c r="E8636" s="482" t="s">
        <v>1001</v>
      </c>
      <c r="F8636" s="482" t="s">
        <v>1002</v>
      </c>
      <c r="G8636" s="481" t="s">
        <v>1003</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1004</v>
      </c>
      <c r="D8648" s="472" t="s">
        <v>1001</v>
      </c>
      <c r="E8648" s="538">
        <f>SUMPRODUCT(D8637:D8646,E8637:E8646)</f>
        <v>0</v>
      </c>
      <c r="F8648" s="472" t="s">
        <v>1005</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1006</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06" t="s">
        <v>576</v>
      </c>
      <c r="B8652" s="707"/>
      <c r="C8652" s="708" t="s">
        <v>0</v>
      </c>
      <c r="D8652" s="720" t="s">
        <v>1866</v>
      </c>
      <c r="E8652" s="720" t="s">
        <v>1865</v>
      </c>
      <c r="F8652" s="712" t="s">
        <v>1007</v>
      </c>
      <c r="G8652" s="714" t="s">
        <v>26</v>
      </c>
    </row>
    <row r="8653" spans="1:7" ht="19.899999999999999" customHeight="1" x14ac:dyDescent="0.2">
      <c r="A8653" s="491" t="s">
        <v>577</v>
      </c>
      <c r="B8653" s="491" t="s">
        <v>578</v>
      </c>
      <c r="C8653" s="709"/>
      <c r="D8653" s="721"/>
      <c r="E8653" s="711"/>
      <c r="F8653" s="713"/>
      <c r="G8653" s="715"/>
    </row>
    <row r="8654" spans="1:7" ht="19.899999999999999" customHeight="1" x14ac:dyDescent="0.2">
      <c r="A8654" s="527"/>
      <c r="B8654" s="175"/>
      <c r="C8654" s="469" t="s">
        <v>1008</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27</v>
      </c>
      <c r="G8664" s="531">
        <f>SUBTOTAL(9,G8655:G8663)</f>
        <v>0</v>
      </c>
    </row>
    <row r="8665" spans="1:7" ht="19.899999999999999" customHeight="1" x14ac:dyDescent="0.2">
      <c r="A8665" s="527"/>
      <c r="B8665" s="175"/>
      <c r="C8665" s="469" t="s">
        <v>713</v>
      </c>
      <c r="D8665" s="473"/>
      <c r="E8665" s="474"/>
      <c r="F8665" s="475"/>
      <c r="G8665" s="528"/>
    </row>
    <row r="8666" spans="1:7" ht="19.899999999999999" customHeight="1" x14ac:dyDescent="0.2">
      <c r="A8666" s="706" t="s">
        <v>576</v>
      </c>
      <c r="B8666" s="707"/>
      <c r="C8666" s="708" t="s">
        <v>0</v>
      </c>
      <c r="D8666" s="710" t="s">
        <v>24</v>
      </c>
      <c r="E8666" s="710" t="s">
        <v>1832</v>
      </c>
      <c r="F8666" s="712" t="s">
        <v>1007</v>
      </c>
      <c r="G8666" s="714" t="s">
        <v>26</v>
      </c>
    </row>
    <row r="8667" spans="1:7" ht="19.899999999999999" customHeight="1" x14ac:dyDescent="0.2">
      <c r="A8667" s="491" t="s">
        <v>577</v>
      </c>
      <c r="B8667" s="491" t="s">
        <v>578</v>
      </c>
      <c r="C8667" s="709"/>
      <c r="D8667" s="711"/>
      <c r="E8667" s="711"/>
      <c r="F8667" s="713"/>
      <c r="G8667" s="715"/>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28</v>
      </c>
      <c r="G8675" s="532">
        <f>SUBTOTAL(9,G8668:G8674)</f>
        <v>0</v>
      </c>
    </row>
    <row r="8676" spans="1:7" ht="19.899999999999999" customHeight="1" x14ac:dyDescent="0.2">
      <c r="A8676" s="527"/>
      <c r="B8676" s="175"/>
      <c r="C8676" s="469" t="s">
        <v>1014</v>
      </c>
      <c r="D8676" s="473"/>
      <c r="E8676" s="474"/>
      <c r="F8676" s="475"/>
      <c r="G8676" s="528"/>
    </row>
    <row r="8677" spans="1:7" ht="19.899999999999999" customHeight="1" x14ac:dyDescent="0.2">
      <c r="A8677" s="706" t="s">
        <v>576</v>
      </c>
      <c r="B8677" s="707"/>
      <c r="C8677" s="708" t="s">
        <v>0</v>
      </c>
      <c r="D8677" s="708" t="s">
        <v>1867</v>
      </c>
      <c r="E8677" s="710" t="s">
        <v>24</v>
      </c>
      <c r="F8677" s="712" t="s">
        <v>25</v>
      </c>
      <c r="G8677" s="714" t="s">
        <v>26</v>
      </c>
    </row>
    <row r="8678" spans="1:7" ht="19.899999999999999" customHeight="1" x14ac:dyDescent="0.2">
      <c r="A8678" s="491" t="s">
        <v>577</v>
      </c>
      <c r="B8678" s="491" t="s">
        <v>578</v>
      </c>
      <c r="C8678" s="709"/>
      <c r="D8678" s="709"/>
      <c r="E8678" s="711"/>
      <c r="F8678" s="713"/>
      <c r="G8678" s="715"/>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29</v>
      </c>
      <c r="G8690" s="532">
        <f>SUBTOTAL(9,G8679:G8689)</f>
        <v>0</v>
      </c>
    </row>
    <row r="8691" spans="1:7" ht="19.899999999999999" customHeight="1" x14ac:dyDescent="0.2">
      <c r="A8691" s="527"/>
      <c r="B8691" s="175"/>
      <c r="C8691" s="469" t="s">
        <v>1015</v>
      </c>
      <c r="D8691" s="473"/>
      <c r="E8691" s="474"/>
      <c r="F8691" s="475"/>
      <c r="G8691" s="528"/>
    </row>
    <row r="8692" spans="1:7" ht="19.899999999999999" customHeight="1" x14ac:dyDescent="0.2">
      <c r="A8692" s="706" t="s">
        <v>576</v>
      </c>
      <c r="B8692" s="707"/>
      <c r="C8692" s="708" t="s">
        <v>0</v>
      </c>
      <c r="D8692" s="708" t="s">
        <v>1867</v>
      </c>
      <c r="E8692" s="710" t="s">
        <v>24</v>
      </c>
      <c r="F8692" s="712" t="s">
        <v>25</v>
      </c>
      <c r="G8692" s="714" t="s">
        <v>26</v>
      </c>
    </row>
    <row r="8693" spans="1:7" ht="19.899999999999999" customHeight="1" x14ac:dyDescent="0.2">
      <c r="A8693" s="491" t="s">
        <v>577</v>
      </c>
      <c r="B8693" s="491" t="s">
        <v>578</v>
      </c>
      <c r="C8693" s="709"/>
      <c r="D8693" s="709"/>
      <c r="E8693" s="711"/>
      <c r="F8693" s="713"/>
      <c r="G8693" s="715"/>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1016</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1833</v>
      </c>
      <c r="E8698" s="586"/>
      <c r="F8698" s="587" t="str">
        <f ca="1">"$/"&amp;G8632</f>
        <v>$/0</v>
      </c>
      <c r="G8698" s="537">
        <f>SUBTOTAL(9,G8655:G8697)</f>
        <v>0</v>
      </c>
    </row>
    <row r="8699" spans="1:7" ht="19.899999999999999" customHeight="1" x14ac:dyDescent="0.2">
      <c r="A8699" s="533"/>
      <c r="B8699" s="534"/>
      <c r="C8699" s="535"/>
      <c r="D8699" s="535" t="s">
        <v>2043</v>
      </c>
      <c r="E8699" s="536"/>
      <c r="F8699" s="589" t="str">
        <f ca="1">"$/"&amp;G8632</f>
        <v>$/0</v>
      </c>
      <c r="G8699" s="537">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16" t="s">
        <v>31</v>
      </c>
      <c r="B8701" s="717"/>
      <c r="C8701" s="717"/>
      <c r="D8701" s="717"/>
      <c r="E8701" s="717"/>
      <c r="F8701" s="717"/>
      <c r="G8701" s="718"/>
    </row>
    <row r="8702" spans="1:7" ht="19.899999999999999" customHeight="1" x14ac:dyDescent="0.2">
      <c r="A8702" s="516" t="s">
        <v>711</v>
      </c>
      <c r="B8702" s="467" t="str">
        <f>Comitente</f>
        <v>DIRECCIÓN PROVINCIAL DE VIALIDAD</v>
      </c>
      <c r="C8702" s="468"/>
      <c r="D8702" s="469"/>
      <c r="E8702" s="469"/>
      <c r="F8702" s="470"/>
      <c r="G8702" s="517"/>
    </row>
    <row r="8703" spans="1:7" ht="19.899999999999999" customHeight="1" x14ac:dyDescent="0.2">
      <c r="A8703" s="516" t="s">
        <v>712</v>
      </c>
      <c r="B8703" s="467">
        <f>Contratista</f>
        <v>0</v>
      </c>
      <c r="C8703" s="471"/>
      <c r="D8703" s="471"/>
      <c r="E8703" s="471"/>
      <c r="F8703" s="467"/>
      <c r="G8703" s="518"/>
    </row>
    <row r="8704" spans="1:7" ht="19.899999999999999" customHeight="1" x14ac:dyDescent="0.2">
      <c r="A8704" s="516" t="s">
        <v>21</v>
      </c>
      <c r="B8704" s="467" t="str">
        <f>Obra</f>
        <v>OBRA BÁSICA Y PAVIMENTACIÓN CALLE GÜEMES</v>
      </c>
      <c r="C8704" s="471"/>
      <c r="D8704" s="471"/>
      <c r="E8704" s="471"/>
      <c r="F8704" s="467" t="s">
        <v>32</v>
      </c>
      <c r="G8704" s="518">
        <f>Fecha_Base</f>
        <v>0</v>
      </c>
    </row>
    <row r="8705" spans="1:7" ht="19.899999999999999" customHeight="1" x14ac:dyDescent="0.2">
      <c r="A8705" s="519" t="s">
        <v>710</v>
      </c>
      <c r="B8705" s="472" t="str">
        <f>Ubicación</f>
        <v>Rawson - Santa Lucia</v>
      </c>
      <c r="C8705" s="472"/>
      <c r="D8705" s="473"/>
      <c r="E8705" s="474"/>
      <c r="F8705" s="475"/>
      <c r="G8705" s="520"/>
    </row>
    <row r="8706" spans="1:7" ht="19.899999999999999" customHeight="1" x14ac:dyDescent="0.2">
      <c r="A8706" s="519" t="s">
        <v>33</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22</v>
      </c>
      <c r="B8707" s="477" t="str">
        <f>IFERROR(VLOOKUP(COUNTIF($A$1:A8707,"ANALISIS DE PRECIOS"),T_NumeroItem,2,FALSE),"")</f>
        <v/>
      </c>
      <c r="C8707" s="719">
        <f ca="1">IFERROR(VLOOKUP(B8707,T_Computo_Presupuesto,2,FALSE),0)</f>
        <v>0</v>
      </c>
      <c r="D8707" s="719"/>
      <c r="E8707" s="719"/>
      <c r="F8707" s="472" t="s">
        <v>23</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999</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1000</v>
      </c>
      <c r="D8711" s="482" t="s">
        <v>24</v>
      </c>
      <c r="E8711" s="482" t="s">
        <v>1001</v>
      </c>
      <c r="F8711" s="482" t="s">
        <v>1002</v>
      </c>
      <c r="G8711" s="481" t="s">
        <v>1003</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1004</v>
      </c>
      <c r="D8723" s="472" t="s">
        <v>1001</v>
      </c>
      <c r="E8723" s="538">
        <f>SUMPRODUCT(D8712:D8721,E8712:E8721)</f>
        <v>0</v>
      </c>
      <c r="F8723" s="472" t="s">
        <v>1005</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1006</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06" t="s">
        <v>576</v>
      </c>
      <c r="B8727" s="707"/>
      <c r="C8727" s="708" t="s">
        <v>0</v>
      </c>
      <c r="D8727" s="720" t="s">
        <v>1866</v>
      </c>
      <c r="E8727" s="720" t="s">
        <v>1865</v>
      </c>
      <c r="F8727" s="712" t="s">
        <v>1007</v>
      </c>
      <c r="G8727" s="714" t="s">
        <v>26</v>
      </c>
    </row>
    <row r="8728" spans="1:7" ht="19.899999999999999" customHeight="1" x14ac:dyDescent="0.2">
      <c r="A8728" s="491" t="s">
        <v>577</v>
      </c>
      <c r="B8728" s="491" t="s">
        <v>578</v>
      </c>
      <c r="C8728" s="709"/>
      <c r="D8728" s="721"/>
      <c r="E8728" s="711"/>
      <c r="F8728" s="713"/>
      <c r="G8728" s="715"/>
    </row>
    <row r="8729" spans="1:7" ht="19.899999999999999" customHeight="1" x14ac:dyDescent="0.2">
      <c r="A8729" s="527"/>
      <c r="B8729" s="175"/>
      <c r="C8729" s="469" t="s">
        <v>1008</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27</v>
      </c>
      <c r="G8739" s="531">
        <f>SUBTOTAL(9,G8730:G8738)</f>
        <v>0</v>
      </c>
    </row>
    <row r="8740" spans="1:7" ht="19.899999999999999" customHeight="1" x14ac:dyDescent="0.2">
      <c r="A8740" s="527"/>
      <c r="B8740" s="175"/>
      <c r="C8740" s="469" t="s">
        <v>713</v>
      </c>
      <c r="D8740" s="473"/>
      <c r="E8740" s="474"/>
      <c r="F8740" s="475"/>
      <c r="G8740" s="528"/>
    </row>
    <row r="8741" spans="1:7" ht="19.899999999999999" customHeight="1" x14ac:dyDescent="0.2">
      <c r="A8741" s="706" t="s">
        <v>576</v>
      </c>
      <c r="B8741" s="707"/>
      <c r="C8741" s="708" t="s">
        <v>0</v>
      </c>
      <c r="D8741" s="710" t="s">
        <v>24</v>
      </c>
      <c r="E8741" s="710" t="s">
        <v>1832</v>
      </c>
      <c r="F8741" s="712" t="s">
        <v>1007</v>
      </c>
      <c r="G8741" s="714" t="s">
        <v>26</v>
      </c>
    </row>
    <row r="8742" spans="1:7" ht="19.899999999999999" customHeight="1" x14ac:dyDescent="0.2">
      <c r="A8742" s="491" t="s">
        <v>577</v>
      </c>
      <c r="B8742" s="491" t="s">
        <v>578</v>
      </c>
      <c r="C8742" s="709"/>
      <c r="D8742" s="711"/>
      <c r="E8742" s="711"/>
      <c r="F8742" s="713"/>
      <c r="G8742" s="715"/>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28</v>
      </c>
      <c r="G8750" s="532">
        <f>SUBTOTAL(9,G8743:G8749)</f>
        <v>0</v>
      </c>
    </row>
    <row r="8751" spans="1:7" ht="19.899999999999999" customHeight="1" x14ac:dyDescent="0.2">
      <c r="A8751" s="527"/>
      <c r="B8751" s="175"/>
      <c r="C8751" s="469" t="s">
        <v>1014</v>
      </c>
      <c r="D8751" s="473"/>
      <c r="E8751" s="474"/>
      <c r="F8751" s="475"/>
      <c r="G8751" s="528"/>
    </row>
    <row r="8752" spans="1:7" ht="19.899999999999999" customHeight="1" x14ac:dyDescent="0.2">
      <c r="A8752" s="706" t="s">
        <v>576</v>
      </c>
      <c r="B8752" s="707"/>
      <c r="C8752" s="708" t="s">
        <v>0</v>
      </c>
      <c r="D8752" s="708" t="s">
        <v>1867</v>
      </c>
      <c r="E8752" s="710" t="s">
        <v>24</v>
      </c>
      <c r="F8752" s="712" t="s">
        <v>25</v>
      </c>
      <c r="G8752" s="714" t="s">
        <v>26</v>
      </c>
    </row>
    <row r="8753" spans="1:7" ht="19.899999999999999" customHeight="1" x14ac:dyDescent="0.2">
      <c r="A8753" s="491" t="s">
        <v>577</v>
      </c>
      <c r="B8753" s="491" t="s">
        <v>578</v>
      </c>
      <c r="C8753" s="709"/>
      <c r="D8753" s="709"/>
      <c r="E8753" s="711"/>
      <c r="F8753" s="713"/>
      <c r="G8753" s="715"/>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29</v>
      </c>
      <c r="G8765" s="532">
        <f>SUBTOTAL(9,G8754:G8764)</f>
        <v>0</v>
      </c>
    </row>
    <row r="8766" spans="1:7" ht="19.899999999999999" customHeight="1" x14ac:dyDescent="0.2">
      <c r="A8766" s="527"/>
      <c r="B8766" s="175"/>
      <c r="C8766" s="469" t="s">
        <v>1015</v>
      </c>
      <c r="D8766" s="473"/>
      <c r="E8766" s="474"/>
      <c r="F8766" s="475"/>
      <c r="G8766" s="528"/>
    </row>
    <row r="8767" spans="1:7" ht="19.899999999999999" customHeight="1" x14ac:dyDescent="0.2">
      <c r="A8767" s="706" t="s">
        <v>576</v>
      </c>
      <c r="B8767" s="707"/>
      <c r="C8767" s="708" t="s">
        <v>0</v>
      </c>
      <c r="D8767" s="708" t="s">
        <v>1867</v>
      </c>
      <c r="E8767" s="710" t="s">
        <v>24</v>
      </c>
      <c r="F8767" s="712" t="s">
        <v>25</v>
      </c>
      <c r="G8767" s="714" t="s">
        <v>26</v>
      </c>
    </row>
    <row r="8768" spans="1:7" ht="19.899999999999999" customHeight="1" x14ac:dyDescent="0.2">
      <c r="A8768" s="491" t="s">
        <v>577</v>
      </c>
      <c r="B8768" s="491" t="s">
        <v>578</v>
      </c>
      <c r="C8768" s="709"/>
      <c r="D8768" s="709"/>
      <c r="E8768" s="711"/>
      <c r="F8768" s="713"/>
      <c r="G8768" s="715"/>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1016</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1833</v>
      </c>
      <c r="E8773" s="586"/>
      <c r="F8773" s="587" t="str">
        <f ca="1">"$/"&amp;G8707</f>
        <v>$/0</v>
      </c>
      <c r="G8773" s="537">
        <f>SUBTOTAL(9,G8730:G8772)</f>
        <v>0</v>
      </c>
    </row>
    <row r="8774" spans="1:7" ht="19.899999999999999" customHeight="1" x14ac:dyDescent="0.2">
      <c r="A8774" s="533"/>
      <c r="B8774" s="534"/>
      <c r="C8774" s="535"/>
      <c r="D8774" s="535" t="s">
        <v>2043</v>
      </c>
      <c r="E8774" s="536"/>
      <c r="F8774" s="589" t="str">
        <f ca="1">"$/"&amp;G8707</f>
        <v>$/0</v>
      </c>
      <c r="G8774" s="537">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16" t="s">
        <v>31</v>
      </c>
      <c r="B8776" s="717"/>
      <c r="C8776" s="717"/>
      <c r="D8776" s="717"/>
      <c r="E8776" s="717"/>
      <c r="F8776" s="717"/>
      <c r="G8776" s="718"/>
    </row>
    <row r="8777" spans="1:7" ht="19.899999999999999" customHeight="1" x14ac:dyDescent="0.2">
      <c r="A8777" s="516" t="s">
        <v>711</v>
      </c>
      <c r="B8777" s="467" t="str">
        <f>Comitente</f>
        <v>DIRECCIÓN PROVINCIAL DE VIALIDAD</v>
      </c>
      <c r="C8777" s="468"/>
      <c r="D8777" s="469"/>
      <c r="E8777" s="469"/>
      <c r="F8777" s="470"/>
      <c r="G8777" s="517"/>
    </row>
    <row r="8778" spans="1:7" ht="19.899999999999999" customHeight="1" x14ac:dyDescent="0.2">
      <c r="A8778" s="516" t="s">
        <v>712</v>
      </c>
      <c r="B8778" s="467">
        <f>Contratista</f>
        <v>0</v>
      </c>
      <c r="C8778" s="471"/>
      <c r="D8778" s="471"/>
      <c r="E8778" s="471"/>
      <c r="F8778" s="467"/>
      <c r="G8778" s="518"/>
    </row>
    <row r="8779" spans="1:7" ht="19.899999999999999" customHeight="1" x14ac:dyDescent="0.2">
      <c r="A8779" s="516" t="s">
        <v>21</v>
      </c>
      <c r="B8779" s="467" t="str">
        <f>Obra</f>
        <v>OBRA BÁSICA Y PAVIMENTACIÓN CALLE GÜEMES</v>
      </c>
      <c r="C8779" s="471"/>
      <c r="D8779" s="471"/>
      <c r="E8779" s="471"/>
      <c r="F8779" s="467" t="s">
        <v>32</v>
      </c>
      <c r="G8779" s="518">
        <f>Fecha_Base</f>
        <v>0</v>
      </c>
    </row>
    <row r="8780" spans="1:7" ht="19.899999999999999" customHeight="1" x14ac:dyDescent="0.2">
      <c r="A8780" s="519" t="s">
        <v>710</v>
      </c>
      <c r="B8780" s="472" t="str">
        <f>Ubicación</f>
        <v>Rawson - Santa Lucia</v>
      </c>
      <c r="C8780" s="472"/>
      <c r="D8780" s="473"/>
      <c r="E8780" s="474"/>
      <c r="F8780" s="475"/>
      <c r="G8780" s="520"/>
    </row>
    <row r="8781" spans="1:7" ht="19.899999999999999" customHeight="1" x14ac:dyDescent="0.2">
      <c r="A8781" s="519" t="s">
        <v>33</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22</v>
      </c>
      <c r="B8782" s="477" t="str">
        <f>IFERROR(VLOOKUP(COUNTIF($A$1:A8782,"ANALISIS DE PRECIOS"),T_NumeroItem,2,FALSE),"")</f>
        <v/>
      </c>
      <c r="C8782" s="719">
        <f ca="1">IFERROR(VLOOKUP(B8782,T_Computo_Presupuesto,2,FALSE),0)</f>
        <v>0</v>
      </c>
      <c r="D8782" s="719"/>
      <c r="E8782" s="719"/>
      <c r="F8782" s="472" t="s">
        <v>23</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999</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1000</v>
      </c>
      <c r="D8786" s="482" t="s">
        <v>24</v>
      </c>
      <c r="E8786" s="482" t="s">
        <v>1001</v>
      </c>
      <c r="F8786" s="482" t="s">
        <v>1002</v>
      </c>
      <c r="G8786" s="481" t="s">
        <v>1003</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1004</v>
      </c>
      <c r="D8798" s="472" t="s">
        <v>1001</v>
      </c>
      <c r="E8798" s="538">
        <f>SUMPRODUCT(D8787:D8796,E8787:E8796)</f>
        <v>0</v>
      </c>
      <c r="F8798" s="472" t="s">
        <v>1005</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1006</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06" t="s">
        <v>576</v>
      </c>
      <c r="B8802" s="707"/>
      <c r="C8802" s="708" t="s">
        <v>0</v>
      </c>
      <c r="D8802" s="720" t="s">
        <v>1866</v>
      </c>
      <c r="E8802" s="720" t="s">
        <v>1865</v>
      </c>
      <c r="F8802" s="712" t="s">
        <v>1007</v>
      </c>
      <c r="G8802" s="714" t="s">
        <v>26</v>
      </c>
    </row>
    <row r="8803" spans="1:7" ht="19.899999999999999" customHeight="1" x14ac:dyDescent="0.2">
      <c r="A8803" s="491" t="s">
        <v>577</v>
      </c>
      <c r="B8803" s="491" t="s">
        <v>578</v>
      </c>
      <c r="C8803" s="709"/>
      <c r="D8803" s="721"/>
      <c r="E8803" s="711"/>
      <c r="F8803" s="713"/>
      <c r="G8803" s="715"/>
    </row>
    <row r="8804" spans="1:7" ht="19.899999999999999" customHeight="1" x14ac:dyDescent="0.2">
      <c r="A8804" s="527"/>
      <c r="B8804" s="175"/>
      <c r="C8804" s="469" t="s">
        <v>1008</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27</v>
      </c>
      <c r="G8814" s="531">
        <f>SUBTOTAL(9,G8805:G8813)</f>
        <v>0</v>
      </c>
    </row>
    <row r="8815" spans="1:7" ht="19.899999999999999" customHeight="1" x14ac:dyDescent="0.2">
      <c r="A8815" s="527"/>
      <c r="B8815" s="175"/>
      <c r="C8815" s="469" t="s">
        <v>713</v>
      </c>
      <c r="D8815" s="473"/>
      <c r="E8815" s="474"/>
      <c r="F8815" s="475"/>
      <c r="G8815" s="528"/>
    </row>
    <row r="8816" spans="1:7" ht="19.899999999999999" customHeight="1" x14ac:dyDescent="0.2">
      <c r="A8816" s="706" t="s">
        <v>576</v>
      </c>
      <c r="B8816" s="707"/>
      <c r="C8816" s="708" t="s">
        <v>0</v>
      </c>
      <c r="D8816" s="710" t="s">
        <v>24</v>
      </c>
      <c r="E8816" s="710" t="s">
        <v>1832</v>
      </c>
      <c r="F8816" s="712" t="s">
        <v>1007</v>
      </c>
      <c r="G8816" s="714" t="s">
        <v>26</v>
      </c>
    </row>
    <row r="8817" spans="1:7" ht="19.899999999999999" customHeight="1" x14ac:dyDescent="0.2">
      <c r="A8817" s="491" t="s">
        <v>577</v>
      </c>
      <c r="B8817" s="491" t="s">
        <v>578</v>
      </c>
      <c r="C8817" s="709"/>
      <c r="D8817" s="711"/>
      <c r="E8817" s="711"/>
      <c r="F8817" s="713"/>
      <c r="G8817" s="715"/>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28</v>
      </c>
      <c r="G8825" s="532">
        <f>SUBTOTAL(9,G8818:G8824)</f>
        <v>0</v>
      </c>
    </row>
    <row r="8826" spans="1:7" ht="19.899999999999999" customHeight="1" x14ac:dyDescent="0.2">
      <c r="A8826" s="527"/>
      <c r="B8826" s="175"/>
      <c r="C8826" s="469" t="s">
        <v>1014</v>
      </c>
      <c r="D8826" s="473"/>
      <c r="E8826" s="474"/>
      <c r="F8826" s="475"/>
      <c r="G8826" s="528"/>
    </row>
    <row r="8827" spans="1:7" ht="19.899999999999999" customHeight="1" x14ac:dyDescent="0.2">
      <c r="A8827" s="706" t="s">
        <v>576</v>
      </c>
      <c r="B8827" s="707"/>
      <c r="C8827" s="708" t="s">
        <v>0</v>
      </c>
      <c r="D8827" s="708" t="s">
        <v>1867</v>
      </c>
      <c r="E8827" s="710" t="s">
        <v>24</v>
      </c>
      <c r="F8827" s="712" t="s">
        <v>25</v>
      </c>
      <c r="G8827" s="714" t="s">
        <v>26</v>
      </c>
    </row>
    <row r="8828" spans="1:7" ht="19.899999999999999" customHeight="1" x14ac:dyDescent="0.2">
      <c r="A8828" s="491" t="s">
        <v>577</v>
      </c>
      <c r="B8828" s="491" t="s">
        <v>578</v>
      </c>
      <c r="C8828" s="709"/>
      <c r="D8828" s="709"/>
      <c r="E8828" s="711"/>
      <c r="F8828" s="713"/>
      <c r="G8828" s="715"/>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29</v>
      </c>
      <c r="G8840" s="532">
        <f>SUBTOTAL(9,G8829:G8839)</f>
        <v>0</v>
      </c>
    </row>
    <row r="8841" spans="1:7" ht="19.899999999999999" customHeight="1" x14ac:dyDescent="0.2">
      <c r="A8841" s="527"/>
      <c r="B8841" s="175"/>
      <c r="C8841" s="469" t="s">
        <v>1015</v>
      </c>
      <c r="D8841" s="473"/>
      <c r="E8841" s="474"/>
      <c r="F8841" s="475"/>
      <c r="G8841" s="528"/>
    </row>
    <row r="8842" spans="1:7" ht="19.899999999999999" customHeight="1" x14ac:dyDescent="0.2">
      <c r="A8842" s="706" t="s">
        <v>576</v>
      </c>
      <c r="B8842" s="707"/>
      <c r="C8842" s="708" t="s">
        <v>0</v>
      </c>
      <c r="D8842" s="708" t="s">
        <v>1867</v>
      </c>
      <c r="E8842" s="710" t="s">
        <v>24</v>
      </c>
      <c r="F8842" s="712" t="s">
        <v>25</v>
      </c>
      <c r="G8842" s="714" t="s">
        <v>26</v>
      </c>
    </row>
    <row r="8843" spans="1:7" ht="19.899999999999999" customHeight="1" x14ac:dyDescent="0.2">
      <c r="A8843" s="491" t="s">
        <v>577</v>
      </c>
      <c r="B8843" s="491" t="s">
        <v>578</v>
      </c>
      <c r="C8843" s="709"/>
      <c r="D8843" s="709"/>
      <c r="E8843" s="711"/>
      <c r="F8843" s="713"/>
      <c r="G8843" s="715"/>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1016</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1833</v>
      </c>
      <c r="E8848" s="586"/>
      <c r="F8848" s="587" t="str">
        <f ca="1">"$/"&amp;G8782</f>
        <v>$/0</v>
      </c>
      <c r="G8848" s="537">
        <f>SUBTOTAL(9,G8805:G8847)</f>
        <v>0</v>
      </c>
    </row>
    <row r="8849" spans="1:7" ht="19.899999999999999" customHeight="1" x14ac:dyDescent="0.2">
      <c r="A8849" s="533"/>
      <c r="B8849" s="534"/>
      <c r="C8849" s="535"/>
      <c r="D8849" s="535" t="s">
        <v>2043</v>
      </c>
      <c r="E8849" s="536"/>
      <c r="F8849" s="589" t="str">
        <f ca="1">"$/"&amp;G8782</f>
        <v>$/0</v>
      </c>
      <c r="G8849" s="537">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16" t="s">
        <v>31</v>
      </c>
      <c r="B8851" s="717"/>
      <c r="C8851" s="717"/>
      <c r="D8851" s="717"/>
      <c r="E8851" s="717"/>
      <c r="F8851" s="717"/>
      <c r="G8851" s="718"/>
    </row>
    <row r="8852" spans="1:7" ht="19.899999999999999" customHeight="1" x14ac:dyDescent="0.2">
      <c r="A8852" s="516" t="s">
        <v>711</v>
      </c>
      <c r="B8852" s="467" t="str">
        <f>Comitente</f>
        <v>DIRECCIÓN PROVINCIAL DE VIALIDAD</v>
      </c>
      <c r="C8852" s="468"/>
      <c r="D8852" s="469"/>
      <c r="E8852" s="469"/>
      <c r="F8852" s="470"/>
      <c r="G8852" s="517"/>
    </row>
    <row r="8853" spans="1:7" ht="19.899999999999999" customHeight="1" x14ac:dyDescent="0.2">
      <c r="A8853" s="516" t="s">
        <v>712</v>
      </c>
      <c r="B8853" s="467">
        <f>Contratista</f>
        <v>0</v>
      </c>
      <c r="C8853" s="471"/>
      <c r="D8853" s="471"/>
      <c r="E8853" s="471"/>
      <c r="F8853" s="467"/>
      <c r="G8853" s="518"/>
    </row>
    <row r="8854" spans="1:7" ht="19.899999999999999" customHeight="1" x14ac:dyDescent="0.2">
      <c r="A8854" s="516" t="s">
        <v>21</v>
      </c>
      <c r="B8854" s="467" t="str">
        <f>Obra</f>
        <v>OBRA BÁSICA Y PAVIMENTACIÓN CALLE GÜEMES</v>
      </c>
      <c r="C8854" s="471"/>
      <c r="D8854" s="471"/>
      <c r="E8854" s="471"/>
      <c r="F8854" s="467" t="s">
        <v>32</v>
      </c>
      <c r="G8854" s="518">
        <f>Fecha_Base</f>
        <v>0</v>
      </c>
    </row>
    <row r="8855" spans="1:7" ht="19.899999999999999" customHeight="1" x14ac:dyDescent="0.2">
      <c r="A8855" s="519" t="s">
        <v>710</v>
      </c>
      <c r="B8855" s="472" t="str">
        <f>Ubicación</f>
        <v>Rawson - Santa Lucia</v>
      </c>
      <c r="C8855" s="472"/>
      <c r="D8855" s="473"/>
      <c r="E8855" s="474"/>
      <c r="F8855" s="475"/>
      <c r="G8855" s="520"/>
    </row>
    <row r="8856" spans="1:7" ht="19.899999999999999" customHeight="1" x14ac:dyDescent="0.2">
      <c r="A8856" s="519" t="s">
        <v>33</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22</v>
      </c>
      <c r="B8857" s="477" t="str">
        <f>IFERROR(VLOOKUP(COUNTIF($A$1:A8857,"ANALISIS DE PRECIOS"),T_NumeroItem,2,FALSE),"")</f>
        <v/>
      </c>
      <c r="C8857" s="719">
        <f ca="1">IFERROR(VLOOKUP(B8857,T_Computo_Presupuesto,2,FALSE),0)</f>
        <v>0</v>
      </c>
      <c r="D8857" s="719"/>
      <c r="E8857" s="719"/>
      <c r="F8857" s="472" t="s">
        <v>23</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999</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1000</v>
      </c>
      <c r="D8861" s="482" t="s">
        <v>24</v>
      </c>
      <c r="E8861" s="482" t="s">
        <v>1001</v>
      </c>
      <c r="F8861" s="482" t="s">
        <v>1002</v>
      </c>
      <c r="G8861" s="481" t="s">
        <v>1003</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1004</v>
      </c>
      <c r="D8873" s="472" t="s">
        <v>1001</v>
      </c>
      <c r="E8873" s="538">
        <f>SUMPRODUCT(D8862:D8871,E8862:E8871)</f>
        <v>0</v>
      </c>
      <c r="F8873" s="472" t="s">
        <v>1005</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1006</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06" t="s">
        <v>576</v>
      </c>
      <c r="B8877" s="707"/>
      <c r="C8877" s="708" t="s">
        <v>0</v>
      </c>
      <c r="D8877" s="720" t="s">
        <v>1866</v>
      </c>
      <c r="E8877" s="720" t="s">
        <v>1865</v>
      </c>
      <c r="F8877" s="712" t="s">
        <v>1007</v>
      </c>
      <c r="G8877" s="714" t="s">
        <v>26</v>
      </c>
    </row>
    <row r="8878" spans="1:7" ht="19.899999999999999" customHeight="1" x14ac:dyDescent="0.2">
      <c r="A8878" s="491" t="s">
        <v>577</v>
      </c>
      <c r="B8878" s="491" t="s">
        <v>578</v>
      </c>
      <c r="C8878" s="709"/>
      <c r="D8878" s="721"/>
      <c r="E8878" s="711"/>
      <c r="F8878" s="713"/>
      <c r="G8878" s="715"/>
    </row>
    <row r="8879" spans="1:7" ht="19.899999999999999" customHeight="1" x14ac:dyDescent="0.2">
      <c r="A8879" s="527"/>
      <c r="B8879" s="175"/>
      <c r="C8879" s="469" t="s">
        <v>1008</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27</v>
      </c>
      <c r="G8889" s="531">
        <f>SUBTOTAL(9,G8880:G8888)</f>
        <v>0</v>
      </c>
    </row>
    <row r="8890" spans="1:7" ht="19.899999999999999" customHeight="1" x14ac:dyDescent="0.2">
      <c r="A8890" s="527"/>
      <c r="B8890" s="175"/>
      <c r="C8890" s="469" t="s">
        <v>713</v>
      </c>
      <c r="D8890" s="473"/>
      <c r="E8890" s="474"/>
      <c r="F8890" s="475"/>
      <c r="G8890" s="528"/>
    </row>
    <row r="8891" spans="1:7" ht="19.899999999999999" customHeight="1" x14ac:dyDescent="0.2">
      <c r="A8891" s="706" t="s">
        <v>576</v>
      </c>
      <c r="B8891" s="707"/>
      <c r="C8891" s="708" t="s">
        <v>0</v>
      </c>
      <c r="D8891" s="710" t="s">
        <v>24</v>
      </c>
      <c r="E8891" s="710" t="s">
        <v>1832</v>
      </c>
      <c r="F8891" s="712" t="s">
        <v>1007</v>
      </c>
      <c r="G8891" s="714" t="s">
        <v>26</v>
      </c>
    </row>
    <row r="8892" spans="1:7" ht="19.899999999999999" customHeight="1" x14ac:dyDescent="0.2">
      <c r="A8892" s="491" t="s">
        <v>577</v>
      </c>
      <c r="B8892" s="491" t="s">
        <v>578</v>
      </c>
      <c r="C8892" s="709"/>
      <c r="D8892" s="711"/>
      <c r="E8892" s="711"/>
      <c r="F8892" s="713"/>
      <c r="G8892" s="715"/>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28</v>
      </c>
      <c r="G8900" s="532">
        <f>SUBTOTAL(9,G8893:G8899)</f>
        <v>0</v>
      </c>
    </row>
    <row r="8901" spans="1:7" ht="19.899999999999999" customHeight="1" x14ac:dyDescent="0.2">
      <c r="A8901" s="527"/>
      <c r="B8901" s="175"/>
      <c r="C8901" s="469" t="s">
        <v>1014</v>
      </c>
      <c r="D8901" s="473"/>
      <c r="E8901" s="474"/>
      <c r="F8901" s="475"/>
      <c r="G8901" s="528"/>
    </row>
    <row r="8902" spans="1:7" ht="19.899999999999999" customHeight="1" x14ac:dyDescent="0.2">
      <c r="A8902" s="706" t="s">
        <v>576</v>
      </c>
      <c r="B8902" s="707"/>
      <c r="C8902" s="708" t="s">
        <v>0</v>
      </c>
      <c r="D8902" s="708" t="s">
        <v>1867</v>
      </c>
      <c r="E8902" s="710" t="s">
        <v>24</v>
      </c>
      <c r="F8902" s="712" t="s">
        <v>25</v>
      </c>
      <c r="G8902" s="714" t="s">
        <v>26</v>
      </c>
    </row>
    <row r="8903" spans="1:7" ht="19.899999999999999" customHeight="1" x14ac:dyDescent="0.2">
      <c r="A8903" s="491" t="s">
        <v>577</v>
      </c>
      <c r="B8903" s="491" t="s">
        <v>578</v>
      </c>
      <c r="C8903" s="709"/>
      <c r="D8903" s="709"/>
      <c r="E8903" s="711"/>
      <c r="F8903" s="713"/>
      <c r="G8903" s="715"/>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29</v>
      </c>
      <c r="G8915" s="532">
        <f>SUBTOTAL(9,G8904:G8914)</f>
        <v>0</v>
      </c>
    </row>
    <row r="8916" spans="1:7" ht="19.899999999999999" customHeight="1" x14ac:dyDescent="0.2">
      <c r="A8916" s="527"/>
      <c r="B8916" s="175"/>
      <c r="C8916" s="469" t="s">
        <v>1015</v>
      </c>
      <c r="D8916" s="473"/>
      <c r="E8916" s="474"/>
      <c r="F8916" s="475"/>
      <c r="G8916" s="528"/>
    </row>
    <row r="8917" spans="1:7" ht="19.899999999999999" customHeight="1" x14ac:dyDescent="0.2">
      <c r="A8917" s="706" t="s">
        <v>576</v>
      </c>
      <c r="B8917" s="707"/>
      <c r="C8917" s="708" t="s">
        <v>0</v>
      </c>
      <c r="D8917" s="708" t="s">
        <v>1867</v>
      </c>
      <c r="E8917" s="710" t="s">
        <v>24</v>
      </c>
      <c r="F8917" s="712" t="s">
        <v>25</v>
      </c>
      <c r="G8917" s="714" t="s">
        <v>26</v>
      </c>
    </row>
    <row r="8918" spans="1:7" ht="19.899999999999999" customHeight="1" x14ac:dyDescent="0.2">
      <c r="A8918" s="491" t="s">
        <v>577</v>
      </c>
      <c r="B8918" s="491" t="s">
        <v>578</v>
      </c>
      <c r="C8918" s="709"/>
      <c r="D8918" s="709"/>
      <c r="E8918" s="711"/>
      <c r="F8918" s="713"/>
      <c r="G8918" s="715"/>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1016</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1833</v>
      </c>
      <c r="E8923" s="586"/>
      <c r="F8923" s="587" t="str">
        <f ca="1">"$/"&amp;G8857</f>
        <v>$/0</v>
      </c>
      <c r="G8923" s="537">
        <f>SUBTOTAL(9,G8880:G8922)</f>
        <v>0</v>
      </c>
    </row>
    <row r="8924" spans="1:7" ht="19.899999999999999" customHeight="1" x14ac:dyDescent="0.2">
      <c r="A8924" s="533"/>
      <c r="B8924" s="534"/>
      <c r="C8924" s="535"/>
      <c r="D8924" s="535" t="s">
        <v>2043</v>
      </c>
      <c r="E8924" s="536"/>
      <c r="F8924" s="589" t="str">
        <f ca="1">"$/"&amp;G8857</f>
        <v>$/0</v>
      </c>
      <c r="G8924" s="537">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16" t="s">
        <v>31</v>
      </c>
      <c r="B8926" s="717"/>
      <c r="C8926" s="717"/>
      <c r="D8926" s="717"/>
      <c r="E8926" s="717"/>
      <c r="F8926" s="717"/>
      <c r="G8926" s="718"/>
    </row>
    <row r="8927" spans="1:7" ht="19.899999999999999" customHeight="1" x14ac:dyDescent="0.2">
      <c r="A8927" s="516" t="s">
        <v>711</v>
      </c>
      <c r="B8927" s="467" t="str">
        <f>Comitente</f>
        <v>DIRECCIÓN PROVINCIAL DE VIALIDAD</v>
      </c>
      <c r="C8927" s="468"/>
      <c r="D8927" s="469"/>
      <c r="E8927" s="469"/>
      <c r="F8927" s="470"/>
      <c r="G8927" s="517"/>
    </row>
    <row r="8928" spans="1:7" ht="19.899999999999999" customHeight="1" x14ac:dyDescent="0.2">
      <c r="A8928" s="516" t="s">
        <v>712</v>
      </c>
      <c r="B8928" s="467">
        <f>Contratista</f>
        <v>0</v>
      </c>
      <c r="C8928" s="471"/>
      <c r="D8928" s="471"/>
      <c r="E8928" s="471"/>
      <c r="F8928" s="467"/>
      <c r="G8928" s="518"/>
    </row>
    <row r="8929" spans="1:7" ht="19.899999999999999" customHeight="1" x14ac:dyDescent="0.2">
      <c r="A8929" s="516" t="s">
        <v>21</v>
      </c>
      <c r="B8929" s="467" t="str">
        <f>Obra</f>
        <v>OBRA BÁSICA Y PAVIMENTACIÓN CALLE GÜEMES</v>
      </c>
      <c r="C8929" s="471"/>
      <c r="D8929" s="471"/>
      <c r="E8929" s="471"/>
      <c r="F8929" s="467" t="s">
        <v>32</v>
      </c>
      <c r="G8929" s="518">
        <f>Fecha_Base</f>
        <v>0</v>
      </c>
    </row>
    <row r="8930" spans="1:7" ht="19.899999999999999" customHeight="1" x14ac:dyDescent="0.2">
      <c r="A8930" s="519" t="s">
        <v>710</v>
      </c>
      <c r="B8930" s="472" t="str">
        <f>Ubicación</f>
        <v>Rawson - Santa Lucia</v>
      </c>
      <c r="C8930" s="472"/>
      <c r="D8930" s="473"/>
      <c r="E8930" s="474"/>
      <c r="F8930" s="475"/>
      <c r="G8930" s="520"/>
    </row>
    <row r="8931" spans="1:7" ht="19.899999999999999" customHeight="1" x14ac:dyDescent="0.2">
      <c r="A8931" s="519" t="s">
        <v>33</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22</v>
      </c>
      <c r="B8932" s="477" t="str">
        <f>IFERROR(VLOOKUP(COUNTIF($A$1:A8932,"ANALISIS DE PRECIOS"),T_NumeroItem,2,FALSE),"")</f>
        <v/>
      </c>
      <c r="C8932" s="719">
        <f ca="1">IFERROR(VLOOKUP(B8932,T_Computo_Presupuesto,2,FALSE),0)</f>
        <v>0</v>
      </c>
      <c r="D8932" s="719"/>
      <c r="E8932" s="719"/>
      <c r="F8932" s="472" t="s">
        <v>23</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999</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1000</v>
      </c>
      <c r="D8936" s="482" t="s">
        <v>24</v>
      </c>
      <c r="E8936" s="482" t="s">
        <v>1001</v>
      </c>
      <c r="F8936" s="482" t="s">
        <v>1002</v>
      </c>
      <c r="G8936" s="481" t="s">
        <v>1003</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1004</v>
      </c>
      <c r="D8948" s="472" t="s">
        <v>1001</v>
      </c>
      <c r="E8948" s="538">
        <f>SUMPRODUCT(D8937:D8946,E8937:E8946)</f>
        <v>0</v>
      </c>
      <c r="F8948" s="472" t="s">
        <v>1005</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1006</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06" t="s">
        <v>576</v>
      </c>
      <c r="B8952" s="707"/>
      <c r="C8952" s="708" t="s">
        <v>0</v>
      </c>
      <c r="D8952" s="720" t="s">
        <v>1866</v>
      </c>
      <c r="E8952" s="720" t="s">
        <v>1865</v>
      </c>
      <c r="F8952" s="712" t="s">
        <v>1007</v>
      </c>
      <c r="G8952" s="714" t="s">
        <v>26</v>
      </c>
    </row>
    <row r="8953" spans="1:7" ht="19.899999999999999" customHeight="1" x14ac:dyDescent="0.2">
      <c r="A8953" s="491" t="s">
        <v>577</v>
      </c>
      <c r="B8953" s="491" t="s">
        <v>578</v>
      </c>
      <c r="C8953" s="709"/>
      <c r="D8953" s="721"/>
      <c r="E8953" s="711"/>
      <c r="F8953" s="713"/>
      <c r="G8953" s="715"/>
    </row>
    <row r="8954" spans="1:7" ht="19.899999999999999" customHeight="1" x14ac:dyDescent="0.2">
      <c r="A8954" s="527"/>
      <c r="B8954" s="175"/>
      <c r="C8954" s="469" t="s">
        <v>1008</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27</v>
      </c>
      <c r="G8964" s="531">
        <f>SUBTOTAL(9,G8955:G8963)</f>
        <v>0</v>
      </c>
    </row>
    <row r="8965" spans="1:7" ht="19.899999999999999" customHeight="1" x14ac:dyDescent="0.2">
      <c r="A8965" s="527"/>
      <c r="B8965" s="175"/>
      <c r="C8965" s="469" t="s">
        <v>713</v>
      </c>
      <c r="D8965" s="473"/>
      <c r="E8965" s="474"/>
      <c r="F8965" s="475"/>
      <c r="G8965" s="528"/>
    </row>
    <row r="8966" spans="1:7" ht="19.899999999999999" customHeight="1" x14ac:dyDescent="0.2">
      <c r="A8966" s="706" t="s">
        <v>576</v>
      </c>
      <c r="B8966" s="707"/>
      <c r="C8966" s="708" t="s">
        <v>0</v>
      </c>
      <c r="D8966" s="710" t="s">
        <v>24</v>
      </c>
      <c r="E8966" s="710" t="s">
        <v>1832</v>
      </c>
      <c r="F8966" s="712" t="s">
        <v>1007</v>
      </c>
      <c r="G8966" s="714" t="s">
        <v>26</v>
      </c>
    </row>
    <row r="8967" spans="1:7" ht="19.899999999999999" customHeight="1" x14ac:dyDescent="0.2">
      <c r="A8967" s="491" t="s">
        <v>577</v>
      </c>
      <c r="B8967" s="491" t="s">
        <v>578</v>
      </c>
      <c r="C8967" s="709"/>
      <c r="D8967" s="711"/>
      <c r="E8967" s="711"/>
      <c r="F8967" s="713"/>
      <c r="G8967" s="715"/>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28</v>
      </c>
      <c r="G8975" s="532">
        <f>SUBTOTAL(9,G8968:G8974)</f>
        <v>0</v>
      </c>
    </row>
    <row r="8976" spans="1:7" ht="19.899999999999999" customHeight="1" x14ac:dyDescent="0.2">
      <c r="A8976" s="527"/>
      <c r="B8976" s="175"/>
      <c r="C8976" s="469" t="s">
        <v>1014</v>
      </c>
      <c r="D8976" s="473"/>
      <c r="E8976" s="474"/>
      <c r="F8976" s="475"/>
      <c r="G8976" s="528"/>
    </row>
    <row r="8977" spans="1:7" ht="19.899999999999999" customHeight="1" x14ac:dyDescent="0.2">
      <c r="A8977" s="706" t="s">
        <v>576</v>
      </c>
      <c r="B8977" s="707"/>
      <c r="C8977" s="708" t="s">
        <v>0</v>
      </c>
      <c r="D8977" s="708" t="s">
        <v>1867</v>
      </c>
      <c r="E8977" s="710" t="s">
        <v>24</v>
      </c>
      <c r="F8977" s="712" t="s">
        <v>25</v>
      </c>
      <c r="G8977" s="714" t="s">
        <v>26</v>
      </c>
    </row>
    <row r="8978" spans="1:7" ht="19.899999999999999" customHeight="1" x14ac:dyDescent="0.2">
      <c r="A8978" s="491" t="s">
        <v>577</v>
      </c>
      <c r="B8978" s="491" t="s">
        <v>578</v>
      </c>
      <c r="C8978" s="709"/>
      <c r="D8978" s="709"/>
      <c r="E8978" s="711"/>
      <c r="F8978" s="713"/>
      <c r="G8978" s="715"/>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29</v>
      </c>
      <c r="G8990" s="532">
        <f>SUBTOTAL(9,G8979:G8989)</f>
        <v>0</v>
      </c>
    </row>
    <row r="8991" spans="1:7" ht="19.899999999999999" customHeight="1" x14ac:dyDescent="0.2">
      <c r="A8991" s="527"/>
      <c r="B8991" s="175"/>
      <c r="C8991" s="469" t="s">
        <v>1015</v>
      </c>
      <c r="D8991" s="473"/>
      <c r="E8991" s="474"/>
      <c r="F8991" s="475"/>
      <c r="G8991" s="528"/>
    </row>
    <row r="8992" spans="1:7" ht="19.899999999999999" customHeight="1" x14ac:dyDescent="0.2">
      <c r="A8992" s="706" t="s">
        <v>576</v>
      </c>
      <c r="B8992" s="707"/>
      <c r="C8992" s="708" t="s">
        <v>0</v>
      </c>
      <c r="D8992" s="708" t="s">
        <v>1867</v>
      </c>
      <c r="E8992" s="710" t="s">
        <v>24</v>
      </c>
      <c r="F8992" s="712" t="s">
        <v>25</v>
      </c>
      <c r="G8992" s="714" t="s">
        <v>26</v>
      </c>
    </row>
    <row r="8993" spans="1:7" ht="19.899999999999999" customHeight="1" x14ac:dyDescent="0.2">
      <c r="A8993" s="491" t="s">
        <v>577</v>
      </c>
      <c r="B8993" s="491" t="s">
        <v>578</v>
      </c>
      <c r="C8993" s="709"/>
      <c r="D8993" s="709"/>
      <c r="E8993" s="711"/>
      <c r="F8993" s="713"/>
      <c r="G8993" s="715"/>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1016</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1833</v>
      </c>
      <c r="E8998" s="586"/>
      <c r="F8998" s="587" t="str">
        <f ca="1">"$/"&amp;G8932</f>
        <v>$/0</v>
      </c>
      <c r="G8998" s="537">
        <f>SUBTOTAL(9,G8955:G8997)</f>
        <v>0</v>
      </c>
    </row>
    <row r="8999" spans="1:7" ht="19.899999999999999" customHeight="1" x14ac:dyDescent="0.2">
      <c r="A8999" s="533"/>
      <c r="B8999" s="534"/>
      <c r="C8999" s="535"/>
      <c r="D8999" s="535" t="s">
        <v>2043</v>
      </c>
      <c r="E8999" s="536"/>
      <c r="F8999" s="589" t="str">
        <f ca="1">"$/"&amp;G8932</f>
        <v>$/0</v>
      </c>
      <c r="G8999" s="537">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16" t="s">
        <v>31</v>
      </c>
      <c r="B9001" s="717"/>
      <c r="C9001" s="717"/>
      <c r="D9001" s="717"/>
      <c r="E9001" s="717"/>
      <c r="F9001" s="717"/>
      <c r="G9001" s="718"/>
    </row>
    <row r="9002" spans="1:7" ht="19.899999999999999" customHeight="1" x14ac:dyDescent="0.2">
      <c r="A9002" s="516" t="s">
        <v>711</v>
      </c>
      <c r="B9002" s="467" t="str">
        <f>Comitente</f>
        <v>DIRECCIÓN PROVINCIAL DE VIALIDAD</v>
      </c>
      <c r="C9002" s="468"/>
      <c r="D9002" s="469"/>
      <c r="E9002" s="469"/>
      <c r="F9002" s="470"/>
      <c r="G9002" s="517"/>
    </row>
    <row r="9003" spans="1:7" ht="19.899999999999999" customHeight="1" x14ac:dyDescent="0.2">
      <c r="A9003" s="516" t="s">
        <v>712</v>
      </c>
      <c r="B9003" s="467">
        <f>Contratista</f>
        <v>0</v>
      </c>
      <c r="C9003" s="471"/>
      <c r="D9003" s="471"/>
      <c r="E9003" s="471"/>
      <c r="F9003" s="467"/>
      <c r="G9003" s="518"/>
    </row>
    <row r="9004" spans="1:7" ht="19.899999999999999" customHeight="1" x14ac:dyDescent="0.2">
      <c r="A9004" s="516" t="s">
        <v>21</v>
      </c>
      <c r="B9004" s="467" t="str">
        <f>Obra</f>
        <v>OBRA BÁSICA Y PAVIMENTACIÓN CALLE GÜEMES</v>
      </c>
      <c r="C9004" s="471"/>
      <c r="D9004" s="471"/>
      <c r="E9004" s="471"/>
      <c r="F9004" s="467" t="s">
        <v>32</v>
      </c>
      <c r="G9004" s="518">
        <f>Fecha_Base</f>
        <v>0</v>
      </c>
    </row>
    <row r="9005" spans="1:7" ht="19.899999999999999" customHeight="1" x14ac:dyDescent="0.2">
      <c r="A9005" s="519" t="s">
        <v>710</v>
      </c>
      <c r="B9005" s="472" t="str">
        <f>Ubicación</f>
        <v>Rawson - Santa Lucia</v>
      </c>
      <c r="C9005" s="472"/>
      <c r="D9005" s="473"/>
      <c r="E9005" s="474"/>
      <c r="F9005" s="475"/>
      <c r="G9005" s="520"/>
    </row>
    <row r="9006" spans="1:7" ht="19.899999999999999" customHeight="1" x14ac:dyDescent="0.2">
      <c r="A9006" s="519" t="s">
        <v>33</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22</v>
      </c>
      <c r="B9007" s="477" t="str">
        <f>IFERROR(VLOOKUP(COUNTIF($A$1:A9007,"ANALISIS DE PRECIOS"),T_NumeroItem,2,FALSE),"")</f>
        <v/>
      </c>
      <c r="C9007" s="719">
        <f ca="1">IFERROR(VLOOKUP(B9007,T_Computo_Presupuesto,2,FALSE),0)</f>
        <v>0</v>
      </c>
      <c r="D9007" s="719"/>
      <c r="E9007" s="719"/>
      <c r="F9007" s="472" t="s">
        <v>23</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999</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1000</v>
      </c>
      <c r="D9011" s="482" t="s">
        <v>24</v>
      </c>
      <c r="E9011" s="482" t="s">
        <v>1001</v>
      </c>
      <c r="F9011" s="482" t="s">
        <v>1002</v>
      </c>
      <c r="G9011" s="481" t="s">
        <v>1003</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1004</v>
      </c>
      <c r="D9023" s="472" t="s">
        <v>1001</v>
      </c>
      <c r="E9023" s="538">
        <f>SUMPRODUCT(D9012:D9021,E9012:E9021)</f>
        <v>0</v>
      </c>
      <c r="F9023" s="472" t="s">
        <v>1005</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1006</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06" t="s">
        <v>576</v>
      </c>
      <c r="B9027" s="707"/>
      <c r="C9027" s="708" t="s">
        <v>0</v>
      </c>
      <c r="D9027" s="720" t="s">
        <v>1866</v>
      </c>
      <c r="E9027" s="720" t="s">
        <v>1865</v>
      </c>
      <c r="F9027" s="712" t="s">
        <v>1007</v>
      </c>
      <c r="G9027" s="714" t="s">
        <v>26</v>
      </c>
    </row>
    <row r="9028" spans="1:7" ht="19.899999999999999" customHeight="1" x14ac:dyDescent="0.2">
      <c r="A9028" s="491" t="s">
        <v>577</v>
      </c>
      <c r="B9028" s="491" t="s">
        <v>578</v>
      </c>
      <c r="C9028" s="709"/>
      <c r="D9028" s="721"/>
      <c r="E9028" s="711"/>
      <c r="F9028" s="713"/>
      <c r="G9028" s="715"/>
    </row>
    <row r="9029" spans="1:7" ht="19.899999999999999" customHeight="1" x14ac:dyDescent="0.2">
      <c r="A9029" s="527"/>
      <c r="B9029" s="175"/>
      <c r="C9029" s="469" t="s">
        <v>1008</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27</v>
      </c>
      <c r="G9039" s="531">
        <f>SUBTOTAL(9,G9030:G9038)</f>
        <v>0</v>
      </c>
    </row>
    <row r="9040" spans="1:7" ht="19.899999999999999" customHeight="1" x14ac:dyDescent="0.2">
      <c r="A9040" s="527"/>
      <c r="B9040" s="175"/>
      <c r="C9040" s="469" t="s">
        <v>713</v>
      </c>
      <c r="D9040" s="473"/>
      <c r="E9040" s="474"/>
      <c r="F9040" s="475"/>
      <c r="G9040" s="528"/>
    </row>
    <row r="9041" spans="1:7" ht="19.899999999999999" customHeight="1" x14ac:dyDescent="0.2">
      <c r="A9041" s="706" t="s">
        <v>576</v>
      </c>
      <c r="B9041" s="707"/>
      <c r="C9041" s="708" t="s">
        <v>0</v>
      </c>
      <c r="D9041" s="710" t="s">
        <v>24</v>
      </c>
      <c r="E9041" s="710" t="s">
        <v>1832</v>
      </c>
      <c r="F9041" s="712" t="s">
        <v>1007</v>
      </c>
      <c r="G9041" s="714" t="s">
        <v>26</v>
      </c>
    </row>
    <row r="9042" spans="1:7" ht="19.899999999999999" customHeight="1" x14ac:dyDescent="0.2">
      <c r="A9042" s="491" t="s">
        <v>577</v>
      </c>
      <c r="B9042" s="491" t="s">
        <v>578</v>
      </c>
      <c r="C9042" s="709"/>
      <c r="D9042" s="711"/>
      <c r="E9042" s="711"/>
      <c r="F9042" s="713"/>
      <c r="G9042" s="715"/>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28</v>
      </c>
      <c r="G9050" s="532">
        <f>SUBTOTAL(9,G9043:G9049)</f>
        <v>0</v>
      </c>
    </row>
    <row r="9051" spans="1:7" ht="19.899999999999999" customHeight="1" x14ac:dyDescent="0.2">
      <c r="A9051" s="527"/>
      <c r="B9051" s="175"/>
      <c r="C9051" s="469" t="s">
        <v>1014</v>
      </c>
      <c r="D9051" s="473"/>
      <c r="E9051" s="474"/>
      <c r="F9051" s="475"/>
      <c r="G9051" s="528"/>
    </row>
    <row r="9052" spans="1:7" ht="19.899999999999999" customHeight="1" x14ac:dyDescent="0.2">
      <c r="A9052" s="706" t="s">
        <v>576</v>
      </c>
      <c r="B9052" s="707"/>
      <c r="C9052" s="708" t="s">
        <v>0</v>
      </c>
      <c r="D9052" s="708" t="s">
        <v>1867</v>
      </c>
      <c r="E9052" s="710" t="s">
        <v>24</v>
      </c>
      <c r="F9052" s="712" t="s">
        <v>25</v>
      </c>
      <c r="G9052" s="714" t="s">
        <v>26</v>
      </c>
    </row>
    <row r="9053" spans="1:7" ht="19.899999999999999" customHeight="1" x14ac:dyDescent="0.2">
      <c r="A9053" s="491" t="s">
        <v>577</v>
      </c>
      <c r="B9053" s="491" t="s">
        <v>578</v>
      </c>
      <c r="C9053" s="709"/>
      <c r="D9053" s="709"/>
      <c r="E9053" s="711"/>
      <c r="F9053" s="713"/>
      <c r="G9053" s="715"/>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29</v>
      </c>
      <c r="G9065" s="532">
        <f>SUBTOTAL(9,G9054:G9064)</f>
        <v>0</v>
      </c>
    </row>
    <row r="9066" spans="1:7" ht="19.899999999999999" customHeight="1" x14ac:dyDescent="0.2">
      <c r="A9066" s="527"/>
      <c r="B9066" s="175"/>
      <c r="C9066" s="469" t="s">
        <v>1015</v>
      </c>
      <c r="D9066" s="473"/>
      <c r="E9066" s="474"/>
      <c r="F9066" s="475"/>
      <c r="G9066" s="528"/>
    </row>
    <row r="9067" spans="1:7" ht="19.899999999999999" customHeight="1" x14ac:dyDescent="0.2">
      <c r="A9067" s="706" t="s">
        <v>576</v>
      </c>
      <c r="B9067" s="707"/>
      <c r="C9067" s="708" t="s">
        <v>0</v>
      </c>
      <c r="D9067" s="708" t="s">
        <v>1867</v>
      </c>
      <c r="E9067" s="710" t="s">
        <v>24</v>
      </c>
      <c r="F9067" s="712" t="s">
        <v>25</v>
      </c>
      <c r="G9067" s="714" t="s">
        <v>26</v>
      </c>
    </row>
    <row r="9068" spans="1:7" ht="19.899999999999999" customHeight="1" x14ac:dyDescent="0.2">
      <c r="A9068" s="491" t="s">
        <v>577</v>
      </c>
      <c r="B9068" s="491" t="s">
        <v>578</v>
      </c>
      <c r="C9068" s="709"/>
      <c r="D9068" s="709"/>
      <c r="E9068" s="711"/>
      <c r="F9068" s="713"/>
      <c r="G9068" s="715"/>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1016</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1833</v>
      </c>
      <c r="E9073" s="586"/>
      <c r="F9073" s="587" t="str">
        <f ca="1">"$/"&amp;G9007</f>
        <v>$/0</v>
      </c>
      <c r="G9073" s="537">
        <f>SUBTOTAL(9,G9030:G9072)</f>
        <v>0</v>
      </c>
    </row>
    <row r="9074" spans="1:7" ht="19.899999999999999" customHeight="1" x14ac:dyDescent="0.2">
      <c r="A9074" s="533"/>
      <c r="B9074" s="534"/>
      <c r="C9074" s="535"/>
      <c r="D9074" s="535" t="s">
        <v>2043</v>
      </c>
      <c r="E9074" s="536"/>
      <c r="F9074" s="589" t="str">
        <f ca="1">"$/"&amp;G9007</f>
        <v>$/0</v>
      </c>
      <c r="G9074" s="537">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16" t="s">
        <v>31</v>
      </c>
      <c r="B9076" s="717"/>
      <c r="C9076" s="717"/>
      <c r="D9076" s="717"/>
      <c r="E9076" s="717"/>
      <c r="F9076" s="717"/>
      <c r="G9076" s="718"/>
    </row>
    <row r="9077" spans="1:7" ht="19.899999999999999" customHeight="1" x14ac:dyDescent="0.2">
      <c r="A9077" s="516" t="s">
        <v>711</v>
      </c>
      <c r="B9077" s="467" t="str">
        <f>Comitente</f>
        <v>DIRECCIÓN PROVINCIAL DE VIALIDAD</v>
      </c>
      <c r="C9077" s="468"/>
      <c r="D9077" s="469"/>
      <c r="E9077" s="469"/>
      <c r="F9077" s="470"/>
      <c r="G9077" s="517"/>
    </row>
    <row r="9078" spans="1:7" ht="19.899999999999999" customHeight="1" x14ac:dyDescent="0.2">
      <c r="A9078" s="516" t="s">
        <v>712</v>
      </c>
      <c r="B9078" s="467">
        <f>Contratista</f>
        <v>0</v>
      </c>
      <c r="C9078" s="471"/>
      <c r="D9078" s="471"/>
      <c r="E9078" s="471"/>
      <c r="F9078" s="467"/>
      <c r="G9078" s="518"/>
    </row>
    <row r="9079" spans="1:7" ht="19.899999999999999" customHeight="1" x14ac:dyDescent="0.2">
      <c r="A9079" s="516" t="s">
        <v>21</v>
      </c>
      <c r="B9079" s="467" t="str">
        <f>Obra</f>
        <v>OBRA BÁSICA Y PAVIMENTACIÓN CALLE GÜEMES</v>
      </c>
      <c r="C9079" s="471"/>
      <c r="D9079" s="471"/>
      <c r="E9079" s="471"/>
      <c r="F9079" s="467" t="s">
        <v>32</v>
      </c>
      <c r="G9079" s="518">
        <f>Fecha_Base</f>
        <v>0</v>
      </c>
    </row>
    <row r="9080" spans="1:7" ht="19.899999999999999" customHeight="1" x14ac:dyDescent="0.2">
      <c r="A9080" s="519" t="s">
        <v>710</v>
      </c>
      <c r="B9080" s="472" t="str">
        <f>Ubicación</f>
        <v>Rawson - Santa Lucia</v>
      </c>
      <c r="C9080" s="472"/>
      <c r="D9080" s="473"/>
      <c r="E9080" s="474"/>
      <c r="F9080" s="475"/>
      <c r="G9080" s="520"/>
    </row>
    <row r="9081" spans="1:7" ht="19.899999999999999" customHeight="1" x14ac:dyDescent="0.2">
      <c r="A9081" s="519" t="s">
        <v>33</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22</v>
      </c>
      <c r="B9082" s="477" t="str">
        <f>IFERROR(VLOOKUP(COUNTIF($A$1:A9082,"ANALISIS DE PRECIOS"),T_NumeroItem,2,FALSE),"")</f>
        <v/>
      </c>
      <c r="C9082" s="719">
        <f ca="1">IFERROR(VLOOKUP(B9082,T_Computo_Presupuesto,2,FALSE),0)</f>
        <v>0</v>
      </c>
      <c r="D9082" s="719"/>
      <c r="E9082" s="719"/>
      <c r="F9082" s="472" t="s">
        <v>23</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999</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1000</v>
      </c>
      <c r="D9086" s="482" t="s">
        <v>24</v>
      </c>
      <c r="E9086" s="482" t="s">
        <v>1001</v>
      </c>
      <c r="F9086" s="482" t="s">
        <v>1002</v>
      </c>
      <c r="G9086" s="481" t="s">
        <v>1003</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1004</v>
      </c>
      <c r="D9098" s="472" t="s">
        <v>1001</v>
      </c>
      <c r="E9098" s="538">
        <f>SUMPRODUCT(D9087:D9096,E9087:E9096)</f>
        <v>0</v>
      </c>
      <c r="F9098" s="472" t="s">
        <v>1005</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1006</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06" t="s">
        <v>576</v>
      </c>
      <c r="B9102" s="707"/>
      <c r="C9102" s="708" t="s">
        <v>0</v>
      </c>
      <c r="D9102" s="720" t="s">
        <v>1866</v>
      </c>
      <c r="E9102" s="720" t="s">
        <v>1865</v>
      </c>
      <c r="F9102" s="712" t="s">
        <v>1007</v>
      </c>
      <c r="G9102" s="714" t="s">
        <v>26</v>
      </c>
    </row>
    <row r="9103" spans="1:7" ht="19.899999999999999" customHeight="1" x14ac:dyDescent="0.2">
      <c r="A9103" s="491" t="s">
        <v>577</v>
      </c>
      <c r="B9103" s="491" t="s">
        <v>578</v>
      </c>
      <c r="C9103" s="709"/>
      <c r="D9103" s="721"/>
      <c r="E9103" s="711"/>
      <c r="F9103" s="713"/>
      <c r="G9103" s="715"/>
    </row>
    <row r="9104" spans="1:7" ht="19.899999999999999" customHeight="1" x14ac:dyDescent="0.2">
      <c r="A9104" s="527"/>
      <c r="B9104" s="175"/>
      <c r="C9104" s="469" t="s">
        <v>1008</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27</v>
      </c>
      <c r="G9114" s="531">
        <f>SUBTOTAL(9,G9105:G9113)</f>
        <v>0</v>
      </c>
    </row>
    <row r="9115" spans="1:7" ht="19.899999999999999" customHeight="1" x14ac:dyDescent="0.2">
      <c r="A9115" s="527"/>
      <c r="B9115" s="175"/>
      <c r="C9115" s="469" t="s">
        <v>713</v>
      </c>
      <c r="D9115" s="473"/>
      <c r="E9115" s="474"/>
      <c r="F9115" s="475"/>
      <c r="G9115" s="528"/>
    </row>
    <row r="9116" spans="1:7" ht="19.899999999999999" customHeight="1" x14ac:dyDescent="0.2">
      <c r="A9116" s="706" t="s">
        <v>576</v>
      </c>
      <c r="B9116" s="707"/>
      <c r="C9116" s="708" t="s">
        <v>0</v>
      </c>
      <c r="D9116" s="710" t="s">
        <v>24</v>
      </c>
      <c r="E9116" s="710" t="s">
        <v>1832</v>
      </c>
      <c r="F9116" s="712" t="s">
        <v>1007</v>
      </c>
      <c r="G9116" s="714" t="s">
        <v>26</v>
      </c>
    </row>
    <row r="9117" spans="1:7" ht="19.899999999999999" customHeight="1" x14ac:dyDescent="0.2">
      <c r="A9117" s="491" t="s">
        <v>577</v>
      </c>
      <c r="B9117" s="491" t="s">
        <v>578</v>
      </c>
      <c r="C9117" s="709"/>
      <c r="D9117" s="711"/>
      <c r="E9117" s="711"/>
      <c r="F9117" s="713"/>
      <c r="G9117" s="715"/>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28</v>
      </c>
      <c r="G9125" s="532">
        <f>SUBTOTAL(9,G9118:G9124)</f>
        <v>0</v>
      </c>
    </row>
    <row r="9126" spans="1:7" ht="19.899999999999999" customHeight="1" x14ac:dyDescent="0.2">
      <c r="A9126" s="527"/>
      <c r="B9126" s="175"/>
      <c r="C9126" s="469" t="s">
        <v>1014</v>
      </c>
      <c r="D9126" s="473"/>
      <c r="E9126" s="474"/>
      <c r="F9126" s="475"/>
      <c r="G9126" s="528"/>
    </row>
    <row r="9127" spans="1:7" ht="19.899999999999999" customHeight="1" x14ac:dyDescent="0.2">
      <c r="A9127" s="706" t="s">
        <v>576</v>
      </c>
      <c r="B9127" s="707"/>
      <c r="C9127" s="708" t="s">
        <v>0</v>
      </c>
      <c r="D9127" s="708" t="s">
        <v>1867</v>
      </c>
      <c r="E9127" s="710" t="s">
        <v>24</v>
      </c>
      <c r="F9127" s="712" t="s">
        <v>25</v>
      </c>
      <c r="G9127" s="714" t="s">
        <v>26</v>
      </c>
    </row>
    <row r="9128" spans="1:7" ht="19.899999999999999" customHeight="1" x14ac:dyDescent="0.2">
      <c r="A9128" s="491" t="s">
        <v>577</v>
      </c>
      <c r="B9128" s="491" t="s">
        <v>578</v>
      </c>
      <c r="C9128" s="709"/>
      <c r="D9128" s="709"/>
      <c r="E9128" s="711"/>
      <c r="F9128" s="713"/>
      <c r="G9128" s="715"/>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29</v>
      </c>
      <c r="G9140" s="532">
        <f>SUBTOTAL(9,G9129:G9139)</f>
        <v>0</v>
      </c>
    </row>
    <row r="9141" spans="1:7" ht="19.899999999999999" customHeight="1" x14ac:dyDescent="0.2">
      <c r="A9141" s="527"/>
      <c r="B9141" s="175"/>
      <c r="C9141" s="469" t="s">
        <v>1015</v>
      </c>
      <c r="D9141" s="473"/>
      <c r="E9141" s="474"/>
      <c r="F9141" s="475"/>
      <c r="G9141" s="528"/>
    </row>
    <row r="9142" spans="1:7" ht="19.899999999999999" customHeight="1" x14ac:dyDescent="0.2">
      <c r="A9142" s="706" t="s">
        <v>576</v>
      </c>
      <c r="B9142" s="707"/>
      <c r="C9142" s="708" t="s">
        <v>0</v>
      </c>
      <c r="D9142" s="708" t="s">
        <v>1867</v>
      </c>
      <c r="E9142" s="710" t="s">
        <v>24</v>
      </c>
      <c r="F9142" s="712" t="s">
        <v>25</v>
      </c>
      <c r="G9142" s="714" t="s">
        <v>26</v>
      </c>
    </row>
    <row r="9143" spans="1:7" ht="19.899999999999999" customHeight="1" x14ac:dyDescent="0.2">
      <c r="A9143" s="491" t="s">
        <v>577</v>
      </c>
      <c r="B9143" s="491" t="s">
        <v>578</v>
      </c>
      <c r="C9143" s="709"/>
      <c r="D9143" s="709"/>
      <c r="E9143" s="711"/>
      <c r="F9143" s="713"/>
      <c r="G9143" s="715"/>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1016</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1833</v>
      </c>
      <c r="E9148" s="586"/>
      <c r="F9148" s="587" t="str">
        <f ca="1">"$/"&amp;G9082</f>
        <v>$/0</v>
      </c>
      <c r="G9148" s="537">
        <f>SUBTOTAL(9,G9105:G9147)</f>
        <v>0</v>
      </c>
    </row>
    <row r="9149" spans="1:7" ht="19.899999999999999" customHeight="1" x14ac:dyDescent="0.2">
      <c r="A9149" s="533"/>
      <c r="B9149" s="534"/>
      <c r="C9149" s="535"/>
      <c r="D9149" s="535" t="s">
        <v>2043</v>
      </c>
      <c r="E9149" s="536"/>
      <c r="F9149" s="589" t="str">
        <f ca="1">"$/"&amp;G9082</f>
        <v>$/0</v>
      </c>
      <c r="G9149" s="537">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16" t="s">
        <v>31</v>
      </c>
      <c r="B9151" s="717"/>
      <c r="C9151" s="717"/>
      <c r="D9151" s="717"/>
      <c r="E9151" s="717"/>
      <c r="F9151" s="717"/>
      <c r="G9151" s="718"/>
    </row>
    <row r="9152" spans="1:7" ht="19.899999999999999" customHeight="1" x14ac:dyDescent="0.2">
      <c r="A9152" s="516" t="s">
        <v>711</v>
      </c>
      <c r="B9152" s="467" t="str">
        <f>Comitente</f>
        <v>DIRECCIÓN PROVINCIAL DE VIALIDAD</v>
      </c>
      <c r="C9152" s="468"/>
      <c r="D9152" s="469"/>
      <c r="E9152" s="469"/>
      <c r="F9152" s="470"/>
      <c r="G9152" s="517"/>
    </row>
    <row r="9153" spans="1:7" ht="19.899999999999999" customHeight="1" x14ac:dyDescent="0.2">
      <c r="A9153" s="516" t="s">
        <v>712</v>
      </c>
      <c r="B9153" s="467">
        <f>Contratista</f>
        <v>0</v>
      </c>
      <c r="C9153" s="471"/>
      <c r="D9153" s="471"/>
      <c r="E9153" s="471"/>
      <c r="F9153" s="467"/>
      <c r="G9153" s="518"/>
    </row>
    <row r="9154" spans="1:7" ht="19.899999999999999" customHeight="1" x14ac:dyDescent="0.2">
      <c r="A9154" s="516" t="s">
        <v>21</v>
      </c>
      <c r="B9154" s="467" t="str">
        <f>Obra</f>
        <v>OBRA BÁSICA Y PAVIMENTACIÓN CALLE GÜEMES</v>
      </c>
      <c r="C9154" s="471"/>
      <c r="D9154" s="471"/>
      <c r="E9154" s="471"/>
      <c r="F9154" s="467" t="s">
        <v>32</v>
      </c>
      <c r="G9154" s="518">
        <f>Fecha_Base</f>
        <v>0</v>
      </c>
    </row>
    <row r="9155" spans="1:7" ht="19.899999999999999" customHeight="1" x14ac:dyDescent="0.2">
      <c r="A9155" s="519" t="s">
        <v>710</v>
      </c>
      <c r="B9155" s="472" t="str">
        <f>Ubicación</f>
        <v>Rawson - Santa Lucia</v>
      </c>
      <c r="C9155" s="472"/>
      <c r="D9155" s="473"/>
      <c r="E9155" s="474"/>
      <c r="F9155" s="475"/>
      <c r="G9155" s="520"/>
    </row>
    <row r="9156" spans="1:7" ht="19.899999999999999" customHeight="1" x14ac:dyDescent="0.2">
      <c r="A9156" s="519" t="s">
        <v>33</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22</v>
      </c>
      <c r="B9157" s="477" t="str">
        <f>IFERROR(VLOOKUP(COUNTIF($A$1:A9157,"ANALISIS DE PRECIOS"),T_NumeroItem,2,FALSE),"")</f>
        <v/>
      </c>
      <c r="C9157" s="719">
        <f ca="1">IFERROR(VLOOKUP(B9157,T_Computo_Presupuesto,2,FALSE),0)</f>
        <v>0</v>
      </c>
      <c r="D9157" s="719"/>
      <c r="E9157" s="719"/>
      <c r="F9157" s="472" t="s">
        <v>23</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999</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1000</v>
      </c>
      <c r="D9161" s="482" t="s">
        <v>24</v>
      </c>
      <c r="E9161" s="482" t="s">
        <v>1001</v>
      </c>
      <c r="F9161" s="482" t="s">
        <v>1002</v>
      </c>
      <c r="G9161" s="481" t="s">
        <v>1003</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1004</v>
      </c>
      <c r="D9173" s="472" t="s">
        <v>1001</v>
      </c>
      <c r="E9173" s="538">
        <f>SUMPRODUCT(D9162:D9171,E9162:E9171)</f>
        <v>0</v>
      </c>
      <c r="F9173" s="472" t="s">
        <v>1005</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1006</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06" t="s">
        <v>576</v>
      </c>
      <c r="B9177" s="707"/>
      <c r="C9177" s="708" t="s">
        <v>0</v>
      </c>
      <c r="D9177" s="720" t="s">
        <v>1866</v>
      </c>
      <c r="E9177" s="720" t="s">
        <v>1865</v>
      </c>
      <c r="F9177" s="712" t="s">
        <v>1007</v>
      </c>
      <c r="G9177" s="714" t="s">
        <v>26</v>
      </c>
    </row>
    <row r="9178" spans="1:7" ht="19.899999999999999" customHeight="1" x14ac:dyDescent="0.2">
      <c r="A9178" s="491" t="s">
        <v>577</v>
      </c>
      <c r="B9178" s="491" t="s">
        <v>578</v>
      </c>
      <c r="C9178" s="709"/>
      <c r="D9178" s="721"/>
      <c r="E9178" s="711"/>
      <c r="F9178" s="713"/>
      <c r="G9178" s="715"/>
    </row>
    <row r="9179" spans="1:7" ht="19.899999999999999" customHeight="1" x14ac:dyDescent="0.2">
      <c r="A9179" s="527"/>
      <c r="B9179" s="175"/>
      <c r="C9179" s="469" t="s">
        <v>1008</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27</v>
      </c>
      <c r="G9189" s="531">
        <f>SUBTOTAL(9,G9180:G9188)</f>
        <v>0</v>
      </c>
    </row>
    <row r="9190" spans="1:7" ht="19.899999999999999" customHeight="1" x14ac:dyDescent="0.2">
      <c r="A9190" s="527"/>
      <c r="B9190" s="175"/>
      <c r="C9190" s="469" t="s">
        <v>713</v>
      </c>
      <c r="D9190" s="473"/>
      <c r="E9190" s="474"/>
      <c r="F9190" s="475"/>
      <c r="G9190" s="528"/>
    </row>
    <row r="9191" spans="1:7" ht="19.899999999999999" customHeight="1" x14ac:dyDescent="0.2">
      <c r="A9191" s="706" t="s">
        <v>576</v>
      </c>
      <c r="B9191" s="707"/>
      <c r="C9191" s="708" t="s">
        <v>0</v>
      </c>
      <c r="D9191" s="710" t="s">
        <v>24</v>
      </c>
      <c r="E9191" s="710" t="s">
        <v>1832</v>
      </c>
      <c r="F9191" s="712" t="s">
        <v>1007</v>
      </c>
      <c r="G9191" s="714" t="s">
        <v>26</v>
      </c>
    </row>
    <row r="9192" spans="1:7" ht="19.899999999999999" customHeight="1" x14ac:dyDescent="0.2">
      <c r="A9192" s="491" t="s">
        <v>577</v>
      </c>
      <c r="B9192" s="491" t="s">
        <v>578</v>
      </c>
      <c r="C9192" s="709"/>
      <c r="D9192" s="711"/>
      <c r="E9192" s="711"/>
      <c r="F9192" s="713"/>
      <c r="G9192" s="715"/>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28</v>
      </c>
      <c r="G9200" s="532">
        <f>SUBTOTAL(9,G9193:G9199)</f>
        <v>0</v>
      </c>
    </row>
    <row r="9201" spans="1:7" ht="19.899999999999999" customHeight="1" x14ac:dyDescent="0.2">
      <c r="A9201" s="527"/>
      <c r="B9201" s="175"/>
      <c r="C9201" s="469" t="s">
        <v>1014</v>
      </c>
      <c r="D9201" s="473"/>
      <c r="E9201" s="474"/>
      <c r="F9201" s="475"/>
      <c r="G9201" s="528"/>
    </row>
    <row r="9202" spans="1:7" ht="19.899999999999999" customHeight="1" x14ac:dyDescent="0.2">
      <c r="A9202" s="706" t="s">
        <v>576</v>
      </c>
      <c r="B9202" s="707"/>
      <c r="C9202" s="708" t="s">
        <v>0</v>
      </c>
      <c r="D9202" s="708" t="s">
        <v>1867</v>
      </c>
      <c r="E9202" s="710" t="s">
        <v>24</v>
      </c>
      <c r="F9202" s="712" t="s">
        <v>25</v>
      </c>
      <c r="G9202" s="714" t="s">
        <v>26</v>
      </c>
    </row>
    <row r="9203" spans="1:7" ht="19.899999999999999" customHeight="1" x14ac:dyDescent="0.2">
      <c r="A9203" s="491" t="s">
        <v>577</v>
      </c>
      <c r="B9203" s="491" t="s">
        <v>578</v>
      </c>
      <c r="C9203" s="709"/>
      <c r="D9203" s="709"/>
      <c r="E9203" s="711"/>
      <c r="F9203" s="713"/>
      <c r="G9203" s="715"/>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29</v>
      </c>
      <c r="G9215" s="532">
        <f>SUBTOTAL(9,G9204:G9214)</f>
        <v>0</v>
      </c>
    </row>
    <row r="9216" spans="1:7" ht="19.899999999999999" customHeight="1" x14ac:dyDescent="0.2">
      <c r="A9216" s="527"/>
      <c r="B9216" s="175"/>
      <c r="C9216" s="469" t="s">
        <v>1015</v>
      </c>
      <c r="D9216" s="473"/>
      <c r="E9216" s="474"/>
      <c r="F9216" s="475"/>
      <c r="G9216" s="528"/>
    </row>
    <row r="9217" spans="1:7" ht="19.899999999999999" customHeight="1" x14ac:dyDescent="0.2">
      <c r="A9217" s="706" t="s">
        <v>576</v>
      </c>
      <c r="B9217" s="707"/>
      <c r="C9217" s="708" t="s">
        <v>0</v>
      </c>
      <c r="D9217" s="708" t="s">
        <v>1867</v>
      </c>
      <c r="E9217" s="710" t="s">
        <v>24</v>
      </c>
      <c r="F9217" s="712" t="s">
        <v>25</v>
      </c>
      <c r="G9217" s="714" t="s">
        <v>26</v>
      </c>
    </row>
    <row r="9218" spans="1:7" ht="19.899999999999999" customHeight="1" x14ac:dyDescent="0.2">
      <c r="A9218" s="491" t="s">
        <v>577</v>
      </c>
      <c r="B9218" s="491" t="s">
        <v>578</v>
      </c>
      <c r="C9218" s="709"/>
      <c r="D9218" s="709"/>
      <c r="E9218" s="711"/>
      <c r="F9218" s="713"/>
      <c r="G9218" s="715"/>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1016</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1833</v>
      </c>
      <c r="E9223" s="586"/>
      <c r="F9223" s="587" t="str">
        <f ca="1">"$/"&amp;G9157</f>
        <v>$/0</v>
      </c>
      <c r="G9223" s="537">
        <f>SUBTOTAL(9,G9180:G9222)</f>
        <v>0</v>
      </c>
    </row>
    <row r="9224" spans="1:7" ht="19.899999999999999" customHeight="1" x14ac:dyDescent="0.2">
      <c r="A9224" s="533"/>
      <c r="B9224" s="534"/>
      <c r="C9224" s="535"/>
      <c r="D9224" s="535" t="s">
        <v>2043</v>
      </c>
      <c r="E9224" s="536"/>
      <c r="F9224" s="589" t="str">
        <f ca="1">"$/"&amp;G9157</f>
        <v>$/0</v>
      </c>
      <c r="G9224" s="537">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16" t="s">
        <v>31</v>
      </c>
      <c r="B9226" s="717"/>
      <c r="C9226" s="717"/>
      <c r="D9226" s="717"/>
      <c r="E9226" s="717"/>
      <c r="F9226" s="717"/>
      <c r="G9226" s="718"/>
    </row>
    <row r="9227" spans="1:7" ht="19.899999999999999" customHeight="1" x14ac:dyDescent="0.2">
      <c r="A9227" s="516" t="s">
        <v>711</v>
      </c>
      <c r="B9227" s="467" t="str">
        <f>Comitente</f>
        <v>DIRECCIÓN PROVINCIAL DE VIALIDAD</v>
      </c>
      <c r="C9227" s="468"/>
      <c r="D9227" s="469"/>
      <c r="E9227" s="469"/>
      <c r="F9227" s="470"/>
      <c r="G9227" s="517"/>
    </row>
    <row r="9228" spans="1:7" ht="19.899999999999999" customHeight="1" x14ac:dyDescent="0.2">
      <c r="A9228" s="516" t="s">
        <v>712</v>
      </c>
      <c r="B9228" s="467">
        <f>Contratista</f>
        <v>0</v>
      </c>
      <c r="C9228" s="471"/>
      <c r="D9228" s="471"/>
      <c r="E9228" s="471"/>
      <c r="F9228" s="467"/>
      <c r="G9228" s="518"/>
    </row>
    <row r="9229" spans="1:7" ht="19.899999999999999" customHeight="1" x14ac:dyDescent="0.2">
      <c r="A9229" s="516" t="s">
        <v>21</v>
      </c>
      <c r="B9229" s="467" t="str">
        <f>Obra</f>
        <v>OBRA BÁSICA Y PAVIMENTACIÓN CALLE GÜEMES</v>
      </c>
      <c r="C9229" s="471"/>
      <c r="D9229" s="471"/>
      <c r="E9229" s="471"/>
      <c r="F9229" s="467" t="s">
        <v>32</v>
      </c>
      <c r="G9229" s="518">
        <f>Fecha_Base</f>
        <v>0</v>
      </c>
    </row>
    <row r="9230" spans="1:7" ht="19.899999999999999" customHeight="1" x14ac:dyDescent="0.2">
      <c r="A9230" s="519" t="s">
        <v>710</v>
      </c>
      <c r="B9230" s="472" t="str">
        <f>Ubicación</f>
        <v>Rawson - Santa Lucia</v>
      </c>
      <c r="C9230" s="472"/>
      <c r="D9230" s="473"/>
      <c r="E9230" s="474"/>
      <c r="F9230" s="475"/>
      <c r="G9230" s="520"/>
    </row>
    <row r="9231" spans="1:7" ht="19.899999999999999" customHeight="1" x14ac:dyDescent="0.2">
      <c r="A9231" s="519" t="s">
        <v>33</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22</v>
      </c>
      <c r="B9232" s="477" t="str">
        <f>IFERROR(VLOOKUP(COUNTIF($A$1:A9232,"ANALISIS DE PRECIOS"),T_NumeroItem,2,FALSE),"")</f>
        <v/>
      </c>
      <c r="C9232" s="719">
        <f ca="1">IFERROR(VLOOKUP(B9232,T_Computo_Presupuesto,2,FALSE),0)</f>
        <v>0</v>
      </c>
      <c r="D9232" s="719"/>
      <c r="E9232" s="719"/>
      <c r="F9232" s="472" t="s">
        <v>23</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999</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1000</v>
      </c>
      <c r="D9236" s="482" t="s">
        <v>24</v>
      </c>
      <c r="E9236" s="482" t="s">
        <v>1001</v>
      </c>
      <c r="F9236" s="482" t="s">
        <v>1002</v>
      </c>
      <c r="G9236" s="481" t="s">
        <v>1003</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1004</v>
      </c>
      <c r="D9248" s="472" t="s">
        <v>1001</v>
      </c>
      <c r="E9248" s="538">
        <f>SUMPRODUCT(D9237:D9246,E9237:E9246)</f>
        <v>0</v>
      </c>
      <c r="F9248" s="472" t="s">
        <v>1005</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1006</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06" t="s">
        <v>576</v>
      </c>
      <c r="B9252" s="707"/>
      <c r="C9252" s="708" t="s">
        <v>0</v>
      </c>
      <c r="D9252" s="720" t="s">
        <v>1866</v>
      </c>
      <c r="E9252" s="720" t="s">
        <v>1865</v>
      </c>
      <c r="F9252" s="712" t="s">
        <v>1007</v>
      </c>
      <c r="G9252" s="714" t="s">
        <v>26</v>
      </c>
    </row>
    <row r="9253" spans="1:7" ht="19.899999999999999" customHeight="1" x14ac:dyDescent="0.2">
      <c r="A9253" s="491" t="s">
        <v>577</v>
      </c>
      <c r="B9253" s="491" t="s">
        <v>578</v>
      </c>
      <c r="C9253" s="709"/>
      <c r="D9253" s="721"/>
      <c r="E9253" s="711"/>
      <c r="F9253" s="713"/>
      <c r="G9253" s="715"/>
    </row>
    <row r="9254" spans="1:7" ht="19.899999999999999" customHeight="1" x14ac:dyDescent="0.2">
      <c r="A9254" s="527"/>
      <c r="B9254" s="175"/>
      <c r="C9254" s="469" t="s">
        <v>1008</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27</v>
      </c>
      <c r="G9264" s="531">
        <f>SUBTOTAL(9,G9255:G9263)</f>
        <v>0</v>
      </c>
    </row>
    <row r="9265" spans="1:7" ht="19.899999999999999" customHeight="1" x14ac:dyDescent="0.2">
      <c r="A9265" s="527"/>
      <c r="B9265" s="175"/>
      <c r="C9265" s="469" t="s">
        <v>713</v>
      </c>
      <c r="D9265" s="473"/>
      <c r="E9265" s="474"/>
      <c r="F9265" s="475"/>
      <c r="G9265" s="528"/>
    </row>
    <row r="9266" spans="1:7" ht="19.899999999999999" customHeight="1" x14ac:dyDescent="0.2">
      <c r="A9266" s="706" t="s">
        <v>576</v>
      </c>
      <c r="B9266" s="707"/>
      <c r="C9266" s="708" t="s">
        <v>0</v>
      </c>
      <c r="D9266" s="710" t="s">
        <v>24</v>
      </c>
      <c r="E9266" s="710" t="s">
        <v>1832</v>
      </c>
      <c r="F9266" s="712" t="s">
        <v>1007</v>
      </c>
      <c r="G9266" s="714" t="s">
        <v>26</v>
      </c>
    </row>
    <row r="9267" spans="1:7" ht="19.899999999999999" customHeight="1" x14ac:dyDescent="0.2">
      <c r="A9267" s="491" t="s">
        <v>577</v>
      </c>
      <c r="B9267" s="491" t="s">
        <v>578</v>
      </c>
      <c r="C9267" s="709"/>
      <c r="D9267" s="711"/>
      <c r="E9267" s="711"/>
      <c r="F9267" s="713"/>
      <c r="G9267" s="715"/>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28</v>
      </c>
      <c r="G9275" s="532">
        <f>SUBTOTAL(9,G9268:G9274)</f>
        <v>0</v>
      </c>
    </row>
    <row r="9276" spans="1:7" ht="19.899999999999999" customHeight="1" x14ac:dyDescent="0.2">
      <c r="A9276" s="527"/>
      <c r="B9276" s="175"/>
      <c r="C9276" s="469" t="s">
        <v>1014</v>
      </c>
      <c r="D9276" s="473"/>
      <c r="E9276" s="474"/>
      <c r="F9276" s="475"/>
      <c r="G9276" s="528"/>
    </row>
    <row r="9277" spans="1:7" ht="19.899999999999999" customHeight="1" x14ac:dyDescent="0.2">
      <c r="A9277" s="706" t="s">
        <v>576</v>
      </c>
      <c r="B9277" s="707"/>
      <c r="C9277" s="708" t="s">
        <v>0</v>
      </c>
      <c r="D9277" s="708" t="s">
        <v>1867</v>
      </c>
      <c r="E9277" s="710" t="s">
        <v>24</v>
      </c>
      <c r="F9277" s="712" t="s">
        <v>25</v>
      </c>
      <c r="G9277" s="714" t="s">
        <v>26</v>
      </c>
    </row>
    <row r="9278" spans="1:7" ht="19.899999999999999" customHeight="1" x14ac:dyDescent="0.2">
      <c r="A9278" s="491" t="s">
        <v>577</v>
      </c>
      <c r="B9278" s="491" t="s">
        <v>578</v>
      </c>
      <c r="C9278" s="709"/>
      <c r="D9278" s="709"/>
      <c r="E9278" s="711"/>
      <c r="F9278" s="713"/>
      <c r="G9278" s="715"/>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29</v>
      </c>
      <c r="G9290" s="532">
        <f>SUBTOTAL(9,G9279:G9289)</f>
        <v>0</v>
      </c>
    </row>
    <row r="9291" spans="1:7" ht="19.899999999999999" customHeight="1" x14ac:dyDescent="0.2">
      <c r="A9291" s="527"/>
      <c r="B9291" s="175"/>
      <c r="C9291" s="469" t="s">
        <v>1015</v>
      </c>
      <c r="D9291" s="473"/>
      <c r="E9291" s="474"/>
      <c r="F9291" s="475"/>
      <c r="G9291" s="528"/>
    </row>
    <row r="9292" spans="1:7" ht="19.899999999999999" customHeight="1" x14ac:dyDescent="0.2">
      <c r="A9292" s="706" t="s">
        <v>576</v>
      </c>
      <c r="B9292" s="707"/>
      <c r="C9292" s="708" t="s">
        <v>0</v>
      </c>
      <c r="D9292" s="708" t="s">
        <v>1867</v>
      </c>
      <c r="E9292" s="710" t="s">
        <v>24</v>
      </c>
      <c r="F9292" s="712" t="s">
        <v>25</v>
      </c>
      <c r="G9292" s="714" t="s">
        <v>26</v>
      </c>
    </row>
    <row r="9293" spans="1:7" ht="19.899999999999999" customHeight="1" x14ac:dyDescent="0.2">
      <c r="A9293" s="491" t="s">
        <v>577</v>
      </c>
      <c r="B9293" s="491" t="s">
        <v>578</v>
      </c>
      <c r="C9293" s="709"/>
      <c r="D9293" s="709"/>
      <c r="E9293" s="711"/>
      <c r="F9293" s="713"/>
      <c r="G9293" s="715"/>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1016</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1833</v>
      </c>
      <c r="E9298" s="586"/>
      <c r="F9298" s="587" t="str">
        <f ca="1">"$/"&amp;G9232</f>
        <v>$/0</v>
      </c>
      <c r="G9298" s="537">
        <f>SUBTOTAL(9,G9255:G9297)</f>
        <v>0</v>
      </c>
    </row>
    <row r="9299" spans="1:7" ht="19.899999999999999" customHeight="1" x14ac:dyDescent="0.2">
      <c r="A9299" s="533"/>
      <c r="B9299" s="534"/>
      <c r="C9299" s="535"/>
      <c r="D9299" s="535" t="s">
        <v>2043</v>
      </c>
      <c r="E9299" s="536"/>
      <c r="F9299" s="589" t="str">
        <f ca="1">"$/"&amp;G9232</f>
        <v>$/0</v>
      </c>
      <c r="G9299" s="537">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16" t="s">
        <v>31</v>
      </c>
      <c r="B9301" s="717"/>
      <c r="C9301" s="717"/>
      <c r="D9301" s="717"/>
      <c r="E9301" s="717"/>
      <c r="F9301" s="717"/>
      <c r="G9301" s="718"/>
    </row>
    <row r="9302" spans="1:7" ht="19.899999999999999" customHeight="1" x14ac:dyDescent="0.2">
      <c r="A9302" s="516" t="s">
        <v>711</v>
      </c>
      <c r="B9302" s="467" t="str">
        <f>Comitente</f>
        <v>DIRECCIÓN PROVINCIAL DE VIALIDAD</v>
      </c>
      <c r="C9302" s="468"/>
      <c r="D9302" s="469"/>
      <c r="E9302" s="469"/>
      <c r="F9302" s="470"/>
      <c r="G9302" s="517"/>
    </row>
    <row r="9303" spans="1:7" ht="19.899999999999999" customHeight="1" x14ac:dyDescent="0.2">
      <c r="A9303" s="516" t="s">
        <v>712</v>
      </c>
      <c r="B9303" s="467">
        <f>Contratista</f>
        <v>0</v>
      </c>
      <c r="C9303" s="471"/>
      <c r="D9303" s="471"/>
      <c r="E9303" s="471"/>
      <c r="F9303" s="467"/>
      <c r="G9303" s="518"/>
    </row>
    <row r="9304" spans="1:7" ht="19.899999999999999" customHeight="1" x14ac:dyDescent="0.2">
      <c r="A9304" s="516" t="s">
        <v>21</v>
      </c>
      <c r="B9304" s="467" t="str">
        <f>Obra</f>
        <v>OBRA BÁSICA Y PAVIMENTACIÓN CALLE GÜEMES</v>
      </c>
      <c r="C9304" s="471"/>
      <c r="D9304" s="471"/>
      <c r="E9304" s="471"/>
      <c r="F9304" s="467" t="s">
        <v>32</v>
      </c>
      <c r="G9304" s="518">
        <f>Fecha_Base</f>
        <v>0</v>
      </c>
    </row>
    <row r="9305" spans="1:7" ht="19.899999999999999" customHeight="1" x14ac:dyDescent="0.2">
      <c r="A9305" s="519" t="s">
        <v>710</v>
      </c>
      <c r="B9305" s="472" t="str">
        <f>Ubicación</f>
        <v>Rawson - Santa Lucia</v>
      </c>
      <c r="C9305" s="472"/>
      <c r="D9305" s="473"/>
      <c r="E9305" s="474"/>
      <c r="F9305" s="475"/>
      <c r="G9305" s="520"/>
    </row>
    <row r="9306" spans="1:7" ht="19.899999999999999" customHeight="1" x14ac:dyDescent="0.2">
      <c r="A9306" s="519" t="s">
        <v>33</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22</v>
      </c>
      <c r="B9307" s="477" t="str">
        <f>IFERROR(VLOOKUP(COUNTIF($A$1:A9307,"ANALISIS DE PRECIOS"),T_NumeroItem,2,FALSE),"")</f>
        <v/>
      </c>
      <c r="C9307" s="719">
        <f ca="1">IFERROR(VLOOKUP(B9307,T_Computo_Presupuesto,2,FALSE),0)</f>
        <v>0</v>
      </c>
      <c r="D9307" s="719"/>
      <c r="E9307" s="719"/>
      <c r="F9307" s="472" t="s">
        <v>23</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999</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1000</v>
      </c>
      <c r="D9311" s="482" t="s">
        <v>24</v>
      </c>
      <c r="E9311" s="482" t="s">
        <v>1001</v>
      </c>
      <c r="F9311" s="482" t="s">
        <v>1002</v>
      </c>
      <c r="G9311" s="481" t="s">
        <v>1003</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1004</v>
      </c>
      <c r="D9323" s="472" t="s">
        <v>1001</v>
      </c>
      <c r="E9323" s="538">
        <f>SUMPRODUCT(D9312:D9321,E9312:E9321)</f>
        <v>0</v>
      </c>
      <c r="F9323" s="472" t="s">
        <v>1005</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1006</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06" t="s">
        <v>576</v>
      </c>
      <c r="B9327" s="707"/>
      <c r="C9327" s="708" t="s">
        <v>0</v>
      </c>
      <c r="D9327" s="720" t="s">
        <v>1866</v>
      </c>
      <c r="E9327" s="720" t="s">
        <v>1865</v>
      </c>
      <c r="F9327" s="712" t="s">
        <v>1007</v>
      </c>
      <c r="G9327" s="714" t="s">
        <v>26</v>
      </c>
    </row>
    <row r="9328" spans="1:7" ht="19.899999999999999" customHeight="1" x14ac:dyDescent="0.2">
      <c r="A9328" s="491" t="s">
        <v>577</v>
      </c>
      <c r="B9328" s="491" t="s">
        <v>578</v>
      </c>
      <c r="C9328" s="709"/>
      <c r="D9328" s="721"/>
      <c r="E9328" s="711"/>
      <c r="F9328" s="713"/>
      <c r="G9328" s="715"/>
    </row>
    <row r="9329" spans="1:7" ht="19.899999999999999" customHeight="1" x14ac:dyDescent="0.2">
      <c r="A9329" s="527"/>
      <c r="B9329" s="175"/>
      <c r="C9329" s="469" t="s">
        <v>1008</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27</v>
      </c>
      <c r="G9339" s="531">
        <f>SUBTOTAL(9,G9330:G9338)</f>
        <v>0</v>
      </c>
    </row>
    <row r="9340" spans="1:7" ht="19.899999999999999" customHeight="1" x14ac:dyDescent="0.2">
      <c r="A9340" s="527"/>
      <c r="B9340" s="175"/>
      <c r="C9340" s="469" t="s">
        <v>713</v>
      </c>
      <c r="D9340" s="473"/>
      <c r="E9340" s="474"/>
      <c r="F9340" s="475"/>
      <c r="G9340" s="528"/>
    </row>
    <row r="9341" spans="1:7" ht="19.899999999999999" customHeight="1" x14ac:dyDescent="0.2">
      <c r="A9341" s="706" t="s">
        <v>576</v>
      </c>
      <c r="B9341" s="707"/>
      <c r="C9341" s="708" t="s">
        <v>0</v>
      </c>
      <c r="D9341" s="710" t="s">
        <v>24</v>
      </c>
      <c r="E9341" s="710" t="s">
        <v>1832</v>
      </c>
      <c r="F9341" s="712" t="s">
        <v>1007</v>
      </c>
      <c r="G9341" s="714" t="s">
        <v>26</v>
      </c>
    </row>
    <row r="9342" spans="1:7" ht="19.899999999999999" customHeight="1" x14ac:dyDescent="0.2">
      <c r="A9342" s="491" t="s">
        <v>577</v>
      </c>
      <c r="B9342" s="491" t="s">
        <v>578</v>
      </c>
      <c r="C9342" s="709"/>
      <c r="D9342" s="711"/>
      <c r="E9342" s="711"/>
      <c r="F9342" s="713"/>
      <c r="G9342" s="715"/>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28</v>
      </c>
      <c r="G9350" s="532">
        <f>SUBTOTAL(9,G9343:G9349)</f>
        <v>0</v>
      </c>
    </row>
    <row r="9351" spans="1:7" ht="19.899999999999999" customHeight="1" x14ac:dyDescent="0.2">
      <c r="A9351" s="527"/>
      <c r="B9351" s="175"/>
      <c r="C9351" s="469" t="s">
        <v>1014</v>
      </c>
      <c r="D9351" s="473"/>
      <c r="E9351" s="474"/>
      <c r="F9351" s="475"/>
      <c r="G9351" s="528"/>
    </row>
    <row r="9352" spans="1:7" ht="19.899999999999999" customHeight="1" x14ac:dyDescent="0.2">
      <c r="A9352" s="706" t="s">
        <v>576</v>
      </c>
      <c r="B9352" s="707"/>
      <c r="C9352" s="708" t="s">
        <v>0</v>
      </c>
      <c r="D9352" s="708" t="s">
        <v>1867</v>
      </c>
      <c r="E9352" s="710" t="s">
        <v>24</v>
      </c>
      <c r="F9352" s="712" t="s">
        <v>25</v>
      </c>
      <c r="G9352" s="714" t="s">
        <v>26</v>
      </c>
    </row>
    <row r="9353" spans="1:7" ht="19.899999999999999" customHeight="1" x14ac:dyDescent="0.2">
      <c r="A9353" s="491" t="s">
        <v>577</v>
      </c>
      <c r="B9353" s="491" t="s">
        <v>578</v>
      </c>
      <c r="C9353" s="709"/>
      <c r="D9353" s="709"/>
      <c r="E9353" s="711"/>
      <c r="F9353" s="713"/>
      <c r="G9353" s="715"/>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29</v>
      </c>
      <c r="G9365" s="532">
        <f>SUBTOTAL(9,G9354:G9364)</f>
        <v>0</v>
      </c>
    </row>
    <row r="9366" spans="1:7" ht="19.899999999999999" customHeight="1" x14ac:dyDescent="0.2">
      <c r="A9366" s="527"/>
      <c r="B9366" s="175"/>
      <c r="C9366" s="469" t="s">
        <v>1015</v>
      </c>
      <c r="D9366" s="473"/>
      <c r="E9366" s="474"/>
      <c r="F9366" s="475"/>
      <c r="G9366" s="528"/>
    </row>
    <row r="9367" spans="1:7" ht="19.899999999999999" customHeight="1" x14ac:dyDescent="0.2">
      <c r="A9367" s="706" t="s">
        <v>576</v>
      </c>
      <c r="B9367" s="707"/>
      <c r="C9367" s="708" t="s">
        <v>0</v>
      </c>
      <c r="D9367" s="708" t="s">
        <v>1867</v>
      </c>
      <c r="E9367" s="710" t="s">
        <v>24</v>
      </c>
      <c r="F9367" s="712" t="s">
        <v>25</v>
      </c>
      <c r="G9367" s="714" t="s">
        <v>26</v>
      </c>
    </row>
    <row r="9368" spans="1:7" ht="19.899999999999999" customHeight="1" x14ac:dyDescent="0.2">
      <c r="A9368" s="491" t="s">
        <v>577</v>
      </c>
      <c r="B9368" s="491" t="s">
        <v>578</v>
      </c>
      <c r="C9368" s="709"/>
      <c r="D9368" s="709"/>
      <c r="E9368" s="711"/>
      <c r="F9368" s="713"/>
      <c r="G9368" s="715"/>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1016</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1833</v>
      </c>
      <c r="E9373" s="586"/>
      <c r="F9373" s="587" t="str">
        <f ca="1">"$/"&amp;G9307</f>
        <v>$/0</v>
      </c>
      <c r="G9373" s="537">
        <f>SUBTOTAL(9,G9330:G9372)</f>
        <v>0</v>
      </c>
    </row>
    <row r="9374" spans="1:7" ht="19.899999999999999" customHeight="1" x14ac:dyDescent="0.2">
      <c r="A9374" s="533"/>
      <c r="B9374" s="534"/>
      <c r="C9374" s="535"/>
      <c r="D9374" s="535" t="s">
        <v>2043</v>
      </c>
      <c r="E9374" s="536"/>
      <c r="F9374" s="589" t="str">
        <f ca="1">"$/"&amp;G9307</f>
        <v>$/0</v>
      </c>
      <c r="G9374" s="537">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16" t="s">
        <v>31</v>
      </c>
      <c r="B9376" s="717"/>
      <c r="C9376" s="717"/>
      <c r="D9376" s="717"/>
      <c r="E9376" s="717"/>
      <c r="F9376" s="717"/>
      <c r="G9376" s="718"/>
    </row>
    <row r="9377" spans="1:7" ht="19.899999999999999" customHeight="1" x14ac:dyDescent="0.2">
      <c r="A9377" s="516" t="s">
        <v>711</v>
      </c>
      <c r="B9377" s="467" t="str">
        <f>Comitente</f>
        <v>DIRECCIÓN PROVINCIAL DE VIALIDAD</v>
      </c>
      <c r="C9377" s="468"/>
      <c r="D9377" s="469"/>
      <c r="E9377" s="469"/>
      <c r="F9377" s="470"/>
      <c r="G9377" s="517"/>
    </row>
    <row r="9378" spans="1:7" ht="19.899999999999999" customHeight="1" x14ac:dyDescent="0.2">
      <c r="A9378" s="516" t="s">
        <v>712</v>
      </c>
      <c r="B9378" s="467">
        <f>Contratista</f>
        <v>0</v>
      </c>
      <c r="C9378" s="471"/>
      <c r="D9378" s="471"/>
      <c r="E9378" s="471"/>
      <c r="F9378" s="467"/>
      <c r="G9378" s="518"/>
    </row>
    <row r="9379" spans="1:7" ht="19.899999999999999" customHeight="1" x14ac:dyDescent="0.2">
      <c r="A9379" s="516" t="s">
        <v>21</v>
      </c>
      <c r="B9379" s="467" t="str">
        <f>Obra</f>
        <v>OBRA BÁSICA Y PAVIMENTACIÓN CALLE GÜEMES</v>
      </c>
      <c r="C9379" s="471"/>
      <c r="D9379" s="471"/>
      <c r="E9379" s="471"/>
      <c r="F9379" s="467" t="s">
        <v>32</v>
      </c>
      <c r="G9379" s="518">
        <f>Fecha_Base</f>
        <v>0</v>
      </c>
    </row>
    <row r="9380" spans="1:7" ht="19.899999999999999" customHeight="1" x14ac:dyDescent="0.2">
      <c r="A9380" s="519" t="s">
        <v>710</v>
      </c>
      <c r="B9380" s="472" t="str">
        <f>Ubicación</f>
        <v>Rawson - Santa Lucia</v>
      </c>
      <c r="C9380" s="472"/>
      <c r="D9380" s="473"/>
      <c r="E9380" s="474"/>
      <c r="F9380" s="475"/>
      <c r="G9380" s="520"/>
    </row>
    <row r="9381" spans="1:7" ht="19.899999999999999" customHeight="1" x14ac:dyDescent="0.2">
      <c r="A9381" s="519" t="s">
        <v>33</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22</v>
      </c>
      <c r="B9382" s="477" t="str">
        <f>IFERROR(VLOOKUP(COUNTIF($A$1:A9382,"ANALISIS DE PRECIOS"),T_NumeroItem,2,FALSE),"")</f>
        <v/>
      </c>
      <c r="C9382" s="719">
        <f ca="1">IFERROR(VLOOKUP(B9382,T_Computo_Presupuesto,2,FALSE),0)</f>
        <v>0</v>
      </c>
      <c r="D9382" s="719"/>
      <c r="E9382" s="719"/>
      <c r="F9382" s="472" t="s">
        <v>23</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999</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1000</v>
      </c>
      <c r="D9386" s="482" t="s">
        <v>24</v>
      </c>
      <c r="E9386" s="482" t="s">
        <v>1001</v>
      </c>
      <c r="F9386" s="482" t="s">
        <v>1002</v>
      </c>
      <c r="G9386" s="481" t="s">
        <v>1003</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1004</v>
      </c>
      <c r="D9398" s="472" t="s">
        <v>1001</v>
      </c>
      <c r="E9398" s="538">
        <f>SUMPRODUCT(D9387:D9396,E9387:E9396)</f>
        <v>0</v>
      </c>
      <c r="F9398" s="472" t="s">
        <v>1005</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1006</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06" t="s">
        <v>576</v>
      </c>
      <c r="B9402" s="707"/>
      <c r="C9402" s="708" t="s">
        <v>0</v>
      </c>
      <c r="D9402" s="720" t="s">
        <v>1866</v>
      </c>
      <c r="E9402" s="720" t="s">
        <v>1865</v>
      </c>
      <c r="F9402" s="712" t="s">
        <v>1007</v>
      </c>
      <c r="G9402" s="714" t="s">
        <v>26</v>
      </c>
    </row>
    <row r="9403" spans="1:7" ht="19.899999999999999" customHeight="1" x14ac:dyDescent="0.2">
      <c r="A9403" s="491" t="s">
        <v>577</v>
      </c>
      <c r="B9403" s="491" t="s">
        <v>578</v>
      </c>
      <c r="C9403" s="709"/>
      <c r="D9403" s="721"/>
      <c r="E9403" s="711"/>
      <c r="F9403" s="713"/>
      <c r="G9403" s="715"/>
    </row>
    <row r="9404" spans="1:7" ht="19.899999999999999" customHeight="1" x14ac:dyDescent="0.2">
      <c r="A9404" s="527"/>
      <c r="B9404" s="175"/>
      <c r="C9404" s="469" t="s">
        <v>1008</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27</v>
      </c>
      <c r="G9414" s="531">
        <f>SUBTOTAL(9,G9405:G9413)</f>
        <v>0</v>
      </c>
    </row>
    <row r="9415" spans="1:7" ht="19.899999999999999" customHeight="1" x14ac:dyDescent="0.2">
      <c r="A9415" s="527"/>
      <c r="B9415" s="175"/>
      <c r="C9415" s="469" t="s">
        <v>713</v>
      </c>
      <c r="D9415" s="473"/>
      <c r="E9415" s="474"/>
      <c r="F9415" s="475"/>
      <c r="G9415" s="528"/>
    </row>
    <row r="9416" spans="1:7" ht="19.899999999999999" customHeight="1" x14ac:dyDescent="0.2">
      <c r="A9416" s="706" t="s">
        <v>576</v>
      </c>
      <c r="B9416" s="707"/>
      <c r="C9416" s="708" t="s">
        <v>0</v>
      </c>
      <c r="D9416" s="710" t="s">
        <v>24</v>
      </c>
      <c r="E9416" s="710" t="s">
        <v>1832</v>
      </c>
      <c r="F9416" s="712" t="s">
        <v>1007</v>
      </c>
      <c r="G9416" s="714" t="s">
        <v>26</v>
      </c>
    </row>
    <row r="9417" spans="1:7" ht="19.899999999999999" customHeight="1" x14ac:dyDescent="0.2">
      <c r="A9417" s="491" t="s">
        <v>577</v>
      </c>
      <c r="B9417" s="491" t="s">
        <v>578</v>
      </c>
      <c r="C9417" s="709"/>
      <c r="D9417" s="711"/>
      <c r="E9417" s="711"/>
      <c r="F9417" s="713"/>
      <c r="G9417" s="715"/>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28</v>
      </c>
      <c r="G9425" s="532">
        <f>SUBTOTAL(9,G9418:G9424)</f>
        <v>0</v>
      </c>
    </row>
    <row r="9426" spans="1:7" ht="19.899999999999999" customHeight="1" x14ac:dyDescent="0.2">
      <c r="A9426" s="527"/>
      <c r="B9426" s="175"/>
      <c r="C9426" s="469" t="s">
        <v>1014</v>
      </c>
      <c r="D9426" s="473"/>
      <c r="E9426" s="474"/>
      <c r="F9426" s="475"/>
      <c r="G9426" s="528"/>
    </row>
    <row r="9427" spans="1:7" ht="19.899999999999999" customHeight="1" x14ac:dyDescent="0.2">
      <c r="A9427" s="706" t="s">
        <v>576</v>
      </c>
      <c r="B9427" s="707"/>
      <c r="C9427" s="708" t="s">
        <v>0</v>
      </c>
      <c r="D9427" s="708" t="s">
        <v>1867</v>
      </c>
      <c r="E9427" s="710" t="s">
        <v>24</v>
      </c>
      <c r="F9427" s="712" t="s">
        <v>25</v>
      </c>
      <c r="G9427" s="714" t="s">
        <v>26</v>
      </c>
    </row>
    <row r="9428" spans="1:7" ht="19.899999999999999" customHeight="1" x14ac:dyDescent="0.2">
      <c r="A9428" s="491" t="s">
        <v>577</v>
      </c>
      <c r="B9428" s="491" t="s">
        <v>578</v>
      </c>
      <c r="C9428" s="709"/>
      <c r="D9428" s="709"/>
      <c r="E9428" s="711"/>
      <c r="F9428" s="713"/>
      <c r="G9428" s="715"/>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29</v>
      </c>
      <c r="G9440" s="532">
        <f>SUBTOTAL(9,G9429:G9439)</f>
        <v>0</v>
      </c>
    </row>
    <row r="9441" spans="1:7" ht="19.899999999999999" customHeight="1" x14ac:dyDescent="0.2">
      <c r="A9441" s="527"/>
      <c r="B9441" s="175"/>
      <c r="C9441" s="469" t="s">
        <v>1015</v>
      </c>
      <c r="D9441" s="473"/>
      <c r="E9441" s="474"/>
      <c r="F9441" s="475"/>
      <c r="G9441" s="528"/>
    </row>
    <row r="9442" spans="1:7" ht="19.899999999999999" customHeight="1" x14ac:dyDescent="0.2">
      <c r="A9442" s="706" t="s">
        <v>576</v>
      </c>
      <c r="B9442" s="707"/>
      <c r="C9442" s="708" t="s">
        <v>0</v>
      </c>
      <c r="D9442" s="708" t="s">
        <v>1867</v>
      </c>
      <c r="E9442" s="710" t="s">
        <v>24</v>
      </c>
      <c r="F9442" s="712" t="s">
        <v>25</v>
      </c>
      <c r="G9442" s="714" t="s">
        <v>26</v>
      </c>
    </row>
    <row r="9443" spans="1:7" ht="19.899999999999999" customHeight="1" x14ac:dyDescent="0.2">
      <c r="A9443" s="491" t="s">
        <v>577</v>
      </c>
      <c r="B9443" s="491" t="s">
        <v>578</v>
      </c>
      <c r="C9443" s="709"/>
      <c r="D9443" s="709"/>
      <c r="E9443" s="711"/>
      <c r="F9443" s="713"/>
      <c r="G9443" s="715"/>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1016</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1833</v>
      </c>
      <c r="E9448" s="586"/>
      <c r="F9448" s="587" t="str">
        <f ca="1">"$/"&amp;G9382</f>
        <v>$/0</v>
      </c>
      <c r="G9448" s="537">
        <f>SUBTOTAL(9,G9405:G9447)</f>
        <v>0</v>
      </c>
    </row>
    <row r="9449" spans="1:7" ht="19.899999999999999" customHeight="1" x14ac:dyDescent="0.2">
      <c r="A9449" s="533"/>
      <c r="B9449" s="534"/>
      <c r="C9449" s="535"/>
      <c r="D9449" s="535" t="s">
        <v>2043</v>
      </c>
      <c r="E9449" s="536"/>
      <c r="F9449" s="589" t="str">
        <f ca="1">"$/"&amp;G9382</f>
        <v>$/0</v>
      </c>
      <c r="G9449" s="537">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16" t="s">
        <v>31</v>
      </c>
      <c r="B9451" s="717"/>
      <c r="C9451" s="717"/>
      <c r="D9451" s="717"/>
      <c r="E9451" s="717"/>
      <c r="F9451" s="717"/>
      <c r="G9451" s="718"/>
    </row>
    <row r="9452" spans="1:7" ht="19.899999999999999" customHeight="1" x14ac:dyDescent="0.2">
      <c r="A9452" s="516" t="s">
        <v>711</v>
      </c>
      <c r="B9452" s="467" t="str">
        <f>Comitente</f>
        <v>DIRECCIÓN PROVINCIAL DE VIALIDAD</v>
      </c>
      <c r="C9452" s="468"/>
      <c r="D9452" s="469"/>
      <c r="E9452" s="469"/>
      <c r="F9452" s="470"/>
      <c r="G9452" s="517"/>
    </row>
    <row r="9453" spans="1:7" ht="19.899999999999999" customHeight="1" x14ac:dyDescent="0.2">
      <c r="A9453" s="516" t="s">
        <v>712</v>
      </c>
      <c r="B9453" s="467">
        <f>Contratista</f>
        <v>0</v>
      </c>
      <c r="C9453" s="471"/>
      <c r="D9453" s="471"/>
      <c r="E9453" s="471"/>
      <c r="F9453" s="467"/>
      <c r="G9453" s="518"/>
    </row>
    <row r="9454" spans="1:7" ht="19.899999999999999" customHeight="1" x14ac:dyDescent="0.2">
      <c r="A9454" s="516" t="s">
        <v>21</v>
      </c>
      <c r="B9454" s="467" t="str">
        <f>Obra</f>
        <v>OBRA BÁSICA Y PAVIMENTACIÓN CALLE GÜEMES</v>
      </c>
      <c r="C9454" s="471"/>
      <c r="D9454" s="471"/>
      <c r="E9454" s="471"/>
      <c r="F9454" s="467" t="s">
        <v>32</v>
      </c>
      <c r="G9454" s="518">
        <f>Fecha_Base</f>
        <v>0</v>
      </c>
    </row>
    <row r="9455" spans="1:7" ht="19.899999999999999" customHeight="1" x14ac:dyDescent="0.2">
      <c r="A9455" s="519" t="s">
        <v>710</v>
      </c>
      <c r="B9455" s="472" t="str">
        <f>Ubicación</f>
        <v>Rawson - Santa Lucia</v>
      </c>
      <c r="C9455" s="472"/>
      <c r="D9455" s="473"/>
      <c r="E9455" s="474"/>
      <c r="F9455" s="475"/>
      <c r="G9455" s="520"/>
    </row>
    <row r="9456" spans="1:7" ht="19.899999999999999" customHeight="1" x14ac:dyDescent="0.2">
      <c r="A9456" s="519" t="s">
        <v>33</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22</v>
      </c>
      <c r="B9457" s="477" t="str">
        <f>IFERROR(VLOOKUP(COUNTIF($A$1:A9457,"ANALISIS DE PRECIOS"),T_NumeroItem,2,FALSE),"")</f>
        <v/>
      </c>
      <c r="C9457" s="719">
        <f ca="1">IFERROR(VLOOKUP(B9457,T_Computo_Presupuesto,2,FALSE),0)</f>
        <v>0</v>
      </c>
      <c r="D9457" s="719"/>
      <c r="E9457" s="719"/>
      <c r="F9457" s="472" t="s">
        <v>23</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999</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1000</v>
      </c>
      <c r="D9461" s="482" t="s">
        <v>24</v>
      </c>
      <c r="E9461" s="482" t="s">
        <v>1001</v>
      </c>
      <c r="F9461" s="482" t="s">
        <v>1002</v>
      </c>
      <c r="G9461" s="481" t="s">
        <v>1003</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1004</v>
      </c>
      <c r="D9473" s="472" t="s">
        <v>1001</v>
      </c>
      <c r="E9473" s="538">
        <f>SUMPRODUCT(D9462:D9471,E9462:E9471)</f>
        <v>0</v>
      </c>
      <c r="F9473" s="472" t="s">
        <v>1005</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1006</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06" t="s">
        <v>576</v>
      </c>
      <c r="B9477" s="707"/>
      <c r="C9477" s="708" t="s">
        <v>0</v>
      </c>
      <c r="D9477" s="720" t="s">
        <v>1866</v>
      </c>
      <c r="E9477" s="720" t="s">
        <v>1865</v>
      </c>
      <c r="F9477" s="712" t="s">
        <v>1007</v>
      </c>
      <c r="G9477" s="714" t="s">
        <v>26</v>
      </c>
    </row>
    <row r="9478" spans="1:7" ht="19.899999999999999" customHeight="1" x14ac:dyDescent="0.2">
      <c r="A9478" s="491" t="s">
        <v>577</v>
      </c>
      <c r="B9478" s="491" t="s">
        <v>578</v>
      </c>
      <c r="C9478" s="709"/>
      <c r="D9478" s="721"/>
      <c r="E9478" s="711"/>
      <c r="F9478" s="713"/>
      <c r="G9478" s="715"/>
    </row>
    <row r="9479" spans="1:7" ht="19.899999999999999" customHeight="1" x14ac:dyDescent="0.2">
      <c r="A9479" s="527"/>
      <c r="B9479" s="175"/>
      <c r="C9479" s="469" t="s">
        <v>1008</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27</v>
      </c>
      <c r="G9489" s="531">
        <f>SUBTOTAL(9,G9480:G9488)</f>
        <v>0</v>
      </c>
    </row>
    <row r="9490" spans="1:7" ht="19.899999999999999" customHeight="1" x14ac:dyDescent="0.2">
      <c r="A9490" s="527"/>
      <c r="B9490" s="175"/>
      <c r="C9490" s="469" t="s">
        <v>713</v>
      </c>
      <c r="D9490" s="473"/>
      <c r="E9490" s="474"/>
      <c r="F9490" s="475"/>
      <c r="G9490" s="528"/>
    </row>
    <row r="9491" spans="1:7" ht="19.899999999999999" customHeight="1" x14ac:dyDescent="0.2">
      <c r="A9491" s="706" t="s">
        <v>576</v>
      </c>
      <c r="B9491" s="707"/>
      <c r="C9491" s="708" t="s">
        <v>0</v>
      </c>
      <c r="D9491" s="710" t="s">
        <v>24</v>
      </c>
      <c r="E9491" s="710" t="s">
        <v>1832</v>
      </c>
      <c r="F9491" s="712" t="s">
        <v>1007</v>
      </c>
      <c r="G9491" s="714" t="s">
        <v>26</v>
      </c>
    </row>
    <row r="9492" spans="1:7" ht="19.899999999999999" customHeight="1" x14ac:dyDescent="0.2">
      <c r="A9492" s="491" t="s">
        <v>577</v>
      </c>
      <c r="B9492" s="491" t="s">
        <v>578</v>
      </c>
      <c r="C9492" s="709"/>
      <c r="D9492" s="711"/>
      <c r="E9492" s="711"/>
      <c r="F9492" s="713"/>
      <c r="G9492" s="715"/>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28</v>
      </c>
      <c r="G9500" s="532">
        <f>SUBTOTAL(9,G9493:G9499)</f>
        <v>0</v>
      </c>
    </row>
    <row r="9501" spans="1:7" ht="19.899999999999999" customHeight="1" x14ac:dyDescent="0.2">
      <c r="A9501" s="527"/>
      <c r="B9501" s="175"/>
      <c r="C9501" s="469" t="s">
        <v>1014</v>
      </c>
      <c r="D9501" s="473"/>
      <c r="E9501" s="474"/>
      <c r="F9501" s="475"/>
      <c r="G9501" s="528"/>
    </row>
    <row r="9502" spans="1:7" ht="19.899999999999999" customHeight="1" x14ac:dyDescent="0.2">
      <c r="A9502" s="706" t="s">
        <v>576</v>
      </c>
      <c r="B9502" s="707"/>
      <c r="C9502" s="708" t="s">
        <v>0</v>
      </c>
      <c r="D9502" s="708" t="s">
        <v>1867</v>
      </c>
      <c r="E9502" s="710" t="s">
        <v>24</v>
      </c>
      <c r="F9502" s="712" t="s">
        <v>25</v>
      </c>
      <c r="G9502" s="714" t="s">
        <v>26</v>
      </c>
    </row>
    <row r="9503" spans="1:7" ht="19.899999999999999" customHeight="1" x14ac:dyDescent="0.2">
      <c r="A9503" s="491" t="s">
        <v>577</v>
      </c>
      <c r="B9503" s="491" t="s">
        <v>578</v>
      </c>
      <c r="C9503" s="709"/>
      <c r="D9503" s="709"/>
      <c r="E9503" s="711"/>
      <c r="F9503" s="713"/>
      <c r="G9503" s="715"/>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29</v>
      </c>
      <c r="G9515" s="532">
        <f>SUBTOTAL(9,G9504:G9514)</f>
        <v>0</v>
      </c>
    </row>
    <row r="9516" spans="1:7" ht="19.899999999999999" customHeight="1" x14ac:dyDescent="0.2">
      <c r="A9516" s="527"/>
      <c r="B9516" s="175"/>
      <c r="C9516" s="469" t="s">
        <v>1015</v>
      </c>
      <c r="D9516" s="473"/>
      <c r="E9516" s="474"/>
      <c r="F9516" s="475"/>
      <c r="G9516" s="528"/>
    </row>
    <row r="9517" spans="1:7" ht="19.899999999999999" customHeight="1" x14ac:dyDescent="0.2">
      <c r="A9517" s="706" t="s">
        <v>576</v>
      </c>
      <c r="B9517" s="707"/>
      <c r="C9517" s="708" t="s">
        <v>0</v>
      </c>
      <c r="D9517" s="708" t="s">
        <v>1867</v>
      </c>
      <c r="E9517" s="710" t="s">
        <v>24</v>
      </c>
      <c r="F9517" s="712" t="s">
        <v>25</v>
      </c>
      <c r="G9517" s="714" t="s">
        <v>26</v>
      </c>
    </row>
    <row r="9518" spans="1:7" ht="19.899999999999999" customHeight="1" x14ac:dyDescent="0.2">
      <c r="A9518" s="491" t="s">
        <v>577</v>
      </c>
      <c r="B9518" s="491" t="s">
        <v>578</v>
      </c>
      <c r="C9518" s="709"/>
      <c r="D9518" s="709"/>
      <c r="E9518" s="711"/>
      <c r="F9518" s="713"/>
      <c r="G9518" s="715"/>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1016</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1833</v>
      </c>
      <c r="E9523" s="586"/>
      <c r="F9523" s="587" t="str">
        <f ca="1">"$/"&amp;G9457</f>
        <v>$/0</v>
      </c>
      <c r="G9523" s="537">
        <f>SUBTOTAL(9,G9480:G9522)</f>
        <v>0</v>
      </c>
    </row>
    <row r="9524" spans="1:7" ht="19.899999999999999" customHeight="1" x14ac:dyDescent="0.2">
      <c r="A9524" s="533"/>
      <c r="B9524" s="534"/>
      <c r="C9524" s="535"/>
      <c r="D9524" s="535" t="s">
        <v>2043</v>
      </c>
      <c r="E9524" s="536"/>
      <c r="F9524" s="589" t="str">
        <f ca="1">"$/"&amp;G9457</f>
        <v>$/0</v>
      </c>
      <c r="G9524" s="537">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16" t="s">
        <v>31</v>
      </c>
      <c r="B9526" s="717"/>
      <c r="C9526" s="717"/>
      <c r="D9526" s="717"/>
      <c r="E9526" s="717"/>
      <c r="F9526" s="717"/>
      <c r="G9526" s="718"/>
    </row>
    <row r="9527" spans="1:7" ht="19.899999999999999" customHeight="1" x14ac:dyDescent="0.2">
      <c r="A9527" s="516" t="s">
        <v>711</v>
      </c>
      <c r="B9527" s="467" t="str">
        <f>Comitente</f>
        <v>DIRECCIÓN PROVINCIAL DE VIALIDAD</v>
      </c>
      <c r="C9527" s="468"/>
      <c r="D9527" s="469"/>
      <c r="E9527" s="469"/>
      <c r="F9527" s="470"/>
      <c r="G9527" s="517"/>
    </row>
    <row r="9528" spans="1:7" ht="19.899999999999999" customHeight="1" x14ac:dyDescent="0.2">
      <c r="A9528" s="516" t="s">
        <v>712</v>
      </c>
      <c r="B9528" s="467">
        <f>Contratista</f>
        <v>0</v>
      </c>
      <c r="C9528" s="471"/>
      <c r="D9528" s="471"/>
      <c r="E9528" s="471"/>
      <c r="F9528" s="467"/>
      <c r="G9528" s="518"/>
    </row>
    <row r="9529" spans="1:7" ht="19.899999999999999" customHeight="1" x14ac:dyDescent="0.2">
      <c r="A9529" s="516" t="s">
        <v>21</v>
      </c>
      <c r="B9529" s="467" t="str">
        <f>Obra</f>
        <v>OBRA BÁSICA Y PAVIMENTACIÓN CALLE GÜEMES</v>
      </c>
      <c r="C9529" s="471"/>
      <c r="D9529" s="471"/>
      <c r="E9529" s="471"/>
      <c r="F9529" s="467" t="s">
        <v>32</v>
      </c>
      <c r="G9529" s="518">
        <f>Fecha_Base</f>
        <v>0</v>
      </c>
    </row>
    <row r="9530" spans="1:7" ht="19.899999999999999" customHeight="1" x14ac:dyDescent="0.2">
      <c r="A9530" s="519" t="s">
        <v>710</v>
      </c>
      <c r="B9530" s="472" t="str">
        <f>Ubicación</f>
        <v>Rawson - Santa Lucia</v>
      </c>
      <c r="C9530" s="472"/>
      <c r="D9530" s="473"/>
      <c r="E9530" s="474"/>
      <c r="F9530" s="475"/>
      <c r="G9530" s="520"/>
    </row>
    <row r="9531" spans="1:7" ht="19.899999999999999" customHeight="1" x14ac:dyDescent="0.2">
      <c r="A9531" s="519" t="s">
        <v>33</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22</v>
      </c>
      <c r="B9532" s="477" t="str">
        <f>IFERROR(VLOOKUP(COUNTIF($A$1:A9532,"ANALISIS DE PRECIOS"),T_NumeroItem,2,FALSE),"")</f>
        <v/>
      </c>
      <c r="C9532" s="719">
        <f ca="1">IFERROR(VLOOKUP(B9532,T_Computo_Presupuesto,2,FALSE),0)</f>
        <v>0</v>
      </c>
      <c r="D9532" s="719"/>
      <c r="E9532" s="719"/>
      <c r="F9532" s="472" t="s">
        <v>23</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999</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1000</v>
      </c>
      <c r="D9536" s="482" t="s">
        <v>24</v>
      </c>
      <c r="E9536" s="482" t="s">
        <v>1001</v>
      </c>
      <c r="F9536" s="482" t="s">
        <v>1002</v>
      </c>
      <c r="G9536" s="481" t="s">
        <v>1003</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1004</v>
      </c>
      <c r="D9548" s="472" t="s">
        <v>1001</v>
      </c>
      <c r="E9548" s="538">
        <f>SUMPRODUCT(D9537:D9546,E9537:E9546)</f>
        <v>0</v>
      </c>
      <c r="F9548" s="472" t="s">
        <v>1005</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1006</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06" t="s">
        <v>576</v>
      </c>
      <c r="B9552" s="707"/>
      <c r="C9552" s="708" t="s">
        <v>0</v>
      </c>
      <c r="D9552" s="720" t="s">
        <v>1866</v>
      </c>
      <c r="E9552" s="720" t="s">
        <v>1865</v>
      </c>
      <c r="F9552" s="712" t="s">
        <v>1007</v>
      </c>
      <c r="G9552" s="714" t="s">
        <v>26</v>
      </c>
    </row>
    <row r="9553" spans="1:7" ht="19.899999999999999" customHeight="1" x14ac:dyDescent="0.2">
      <c r="A9553" s="491" t="s">
        <v>577</v>
      </c>
      <c r="B9553" s="491" t="s">
        <v>578</v>
      </c>
      <c r="C9553" s="709"/>
      <c r="D9553" s="721"/>
      <c r="E9553" s="711"/>
      <c r="F9553" s="713"/>
      <c r="G9553" s="715"/>
    </row>
    <row r="9554" spans="1:7" ht="19.899999999999999" customHeight="1" x14ac:dyDescent="0.2">
      <c r="A9554" s="527"/>
      <c r="B9554" s="175"/>
      <c r="C9554" s="469" t="s">
        <v>1008</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27</v>
      </c>
      <c r="G9564" s="531">
        <f>SUBTOTAL(9,G9555:G9563)</f>
        <v>0</v>
      </c>
    </row>
    <row r="9565" spans="1:7" ht="19.899999999999999" customHeight="1" x14ac:dyDescent="0.2">
      <c r="A9565" s="527"/>
      <c r="B9565" s="175"/>
      <c r="C9565" s="469" t="s">
        <v>713</v>
      </c>
      <c r="D9565" s="473"/>
      <c r="E9565" s="474"/>
      <c r="F9565" s="475"/>
      <c r="G9565" s="528"/>
    </row>
    <row r="9566" spans="1:7" ht="19.899999999999999" customHeight="1" x14ac:dyDescent="0.2">
      <c r="A9566" s="706" t="s">
        <v>576</v>
      </c>
      <c r="B9566" s="707"/>
      <c r="C9566" s="708" t="s">
        <v>0</v>
      </c>
      <c r="D9566" s="710" t="s">
        <v>24</v>
      </c>
      <c r="E9566" s="710" t="s">
        <v>1832</v>
      </c>
      <c r="F9566" s="712" t="s">
        <v>1007</v>
      </c>
      <c r="G9566" s="714" t="s">
        <v>26</v>
      </c>
    </row>
    <row r="9567" spans="1:7" ht="19.899999999999999" customHeight="1" x14ac:dyDescent="0.2">
      <c r="A9567" s="491" t="s">
        <v>577</v>
      </c>
      <c r="B9567" s="491" t="s">
        <v>578</v>
      </c>
      <c r="C9567" s="709"/>
      <c r="D9567" s="711"/>
      <c r="E9567" s="711"/>
      <c r="F9567" s="713"/>
      <c r="G9567" s="715"/>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28</v>
      </c>
      <c r="G9575" s="532">
        <f>SUBTOTAL(9,G9568:G9574)</f>
        <v>0</v>
      </c>
    </row>
    <row r="9576" spans="1:7" ht="19.899999999999999" customHeight="1" x14ac:dyDescent="0.2">
      <c r="A9576" s="527"/>
      <c r="B9576" s="175"/>
      <c r="C9576" s="469" t="s">
        <v>1014</v>
      </c>
      <c r="D9576" s="473"/>
      <c r="E9576" s="474"/>
      <c r="F9576" s="475"/>
      <c r="G9576" s="528"/>
    </row>
    <row r="9577" spans="1:7" ht="19.899999999999999" customHeight="1" x14ac:dyDescent="0.2">
      <c r="A9577" s="706" t="s">
        <v>576</v>
      </c>
      <c r="B9577" s="707"/>
      <c r="C9577" s="708" t="s">
        <v>0</v>
      </c>
      <c r="D9577" s="708" t="s">
        <v>1867</v>
      </c>
      <c r="E9577" s="710" t="s">
        <v>24</v>
      </c>
      <c r="F9577" s="712" t="s">
        <v>25</v>
      </c>
      <c r="G9577" s="714" t="s">
        <v>26</v>
      </c>
    </row>
    <row r="9578" spans="1:7" ht="19.899999999999999" customHeight="1" x14ac:dyDescent="0.2">
      <c r="A9578" s="491" t="s">
        <v>577</v>
      </c>
      <c r="B9578" s="491" t="s">
        <v>578</v>
      </c>
      <c r="C9578" s="709"/>
      <c r="D9578" s="709"/>
      <c r="E9578" s="711"/>
      <c r="F9578" s="713"/>
      <c r="G9578" s="715"/>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29</v>
      </c>
      <c r="G9590" s="532">
        <f>SUBTOTAL(9,G9579:G9589)</f>
        <v>0</v>
      </c>
    </row>
    <row r="9591" spans="1:7" ht="19.899999999999999" customHeight="1" x14ac:dyDescent="0.2">
      <c r="A9591" s="527"/>
      <c r="B9591" s="175"/>
      <c r="C9591" s="469" t="s">
        <v>1015</v>
      </c>
      <c r="D9591" s="473"/>
      <c r="E9591" s="474"/>
      <c r="F9591" s="475"/>
      <c r="G9591" s="528"/>
    </row>
    <row r="9592" spans="1:7" ht="19.899999999999999" customHeight="1" x14ac:dyDescent="0.2">
      <c r="A9592" s="706" t="s">
        <v>576</v>
      </c>
      <c r="B9592" s="707"/>
      <c r="C9592" s="708" t="s">
        <v>0</v>
      </c>
      <c r="D9592" s="708" t="s">
        <v>1867</v>
      </c>
      <c r="E9592" s="710" t="s">
        <v>24</v>
      </c>
      <c r="F9592" s="712" t="s">
        <v>25</v>
      </c>
      <c r="G9592" s="714" t="s">
        <v>26</v>
      </c>
    </row>
    <row r="9593" spans="1:7" ht="19.899999999999999" customHeight="1" x14ac:dyDescent="0.2">
      <c r="A9593" s="491" t="s">
        <v>577</v>
      </c>
      <c r="B9593" s="491" t="s">
        <v>578</v>
      </c>
      <c r="C9593" s="709"/>
      <c r="D9593" s="709"/>
      <c r="E9593" s="711"/>
      <c r="F9593" s="713"/>
      <c r="G9593" s="715"/>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1016</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1833</v>
      </c>
      <c r="E9598" s="586"/>
      <c r="F9598" s="587" t="str">
        <f ca="1">"$/"&amp;G9532</f>
        <v>$/0</v>
      </c>
      <c r="G9598" s="537">
        <f>SUBTOTAL(9,G9555:G9597)</f>
        <v>0</v>
      </c>
    </row>
    <row r="9599" spans="1:7" ht="19.899999999999999" customHeight="1" x14ac:dyDescent="0.2">
      <c r="A9599" s="533"/>
      <c r="B9599" s="534"/>
      <c r="C9599" s="535"/>
      <c r="D9599" s="535" t="s">
        <v>2043</v>
      </c>
      <c r="E9599" s="536"/>
      <c r="F9599" s="589" t="str">
        <f ca="1">"$/"&amp;G9532</f>
        <v>$/0</v>
      </c>
      <c r="G9599" s="537">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16" t="s">
        <v>31</v>
      </c>
      <c r="B9601" s="717"/>
      <c r="C9601" s="717"/>
      <c r="D9601" s="717"/>
      <c r="E9601" s="717"/>
      <c r="F9601" s="717"/>
      <c r="G9601" s="718"/>
    </row>
    <row r="9602" spans="1:7" ht="19.899999999999999" customHeight="1" x14ac:dyDescent="0.2">
      <c r="A9602" s="516" t="s">
        <v>711</v>
      </c>
      <c r="B9602" s="467" t="str">
        <f>Comitente</f>
        <v>DIRECCIÓN PROVINCIAL DE VIALIDAD</v>
      </c>
      <c r="C9602" s="468"/>
      <c r="D9602" s="469"/>
      <c r="E9602" s="469"/>
      <c r="F9602" s="470"/>
      <c r="G9602" s="517"/>
    </row>
    <row r="9603" spans="1:7" ht="19.899999999999999" customHeight="1" x14ac:dyDescent="0.2">
      <c r="A9603" s="516" t="s">
        <v>712</v>
      </c>
      <c r="B9603" s="467">
        <f>Contratista</f>
        <v>0</v>
      </c>
      <c r="C9603" s="471"/>
      <c r="D9603" s="471"/>
      <c r="E9603" s="471"/>
      <c r="F9603" s="467"/>
      <c r="G9603" s="518"/>
    </row>
    <row r="9604" spans="1:7" ht="19.899999999999999" customHeight="1" x14ac:dyDescent="0.2">
      <c r="A9604" s="516" t="s">
        <v>21</v>
      </c>
      <c r="B9604" s="467" t="str">
        <f>Obra</f>
        <v>OBRA BÁSICA Y PAVIMENTACIÓN CALLE GÜEMES</v>
      </c>
      <c r="C9604" s="471"/>
      <c r="D9604" s="471"/>
      <c r="E9604" s="471"/>
      <c r="F9604" s="467" t="s">
        <v>32</v>
      </c>
      <c r="G9604" s="518">
        <f>Fecha_Base</f>
        <v>0</v>
      </c>
    </row>
    <row r="9605" spans="1:7" ht="19.899999999999999" customHeight="1" x14ac:dyDescent="0.2">
      <c r="A9605" s="519" t="s">
        <v>710</v>
      </c>
      <c r="B9605" s="472" t="str">
        <f>Ubicación</f>
        <v>Rawson - Santa Lucia</v>
      </c>
      <c r="C9605" s="472"/>
      <c r="D9605" s="473"/>
      <c r="E9605" s="474"/>
      <c r="F9605" s="475"/>
      <c r="G9605" s="520"/>
    </row>
    <row r="9606" spans="1:7" ht="19.899999999999999" customHeight="1" x14ac:dyDescent="0.2">
      <c r="A9606" s="519" t="s">
        <v>33</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22</v>
      </c>
      <c r="B9607" s="477" t="str">
        <f>IFERROR(VLOOKUP(COUNTIF($A$1:A9607,"ANALISIS DE PRECIOS"),T_NumeroItem,2,FALSE),"")</f>
        <v/>
      </c>
      <c r="C9607" s="719">
        <f ca="1">IFERROR(VLOOKUP(B9607,T_Computo_Presupuesto,2,FALSE),0)</f>
        <v>0</v>
      </c>
      <c r="D9607" s="719"/>
      <c r="E9607" s="719"/>
      <c r="F9607" s="472" t="s">
        <v>23</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999</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1000</v>
      </c>
      <c r="D9611" s="482" t="s">
        <v>24</v>
      </c>
      <c r="E9611" s="482" t="s">
        <v>1001</v>
      </c>
      <c r="F9611" s="482" t="s">
        <v>1002</v>
      </c>
      <c r="G9611" s="481" t="s">
        <v>1003</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1004</v>
      </c>
      <c r="D9623" s="472" t="s">
        <v>1001</v>
      </c>
      <c r="E9623" s="538">
        <f>SUMPRODUCT(D9612:D9621,E9612:E9621)</f>
        <v>0</v>
      </c>
      <c r="F9623" s="472" t="s">
        <v>1005</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1006</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06" t="s">
        <v>576</v>
      </c>
      <c r="B9627" s="707"/>
      <c r="C9627" s="708" t="s">
        <v>0</v>
      </c>
      <c r="D9627" s="720" t="s">
        <v>1866</v>
      </c>
      <c r="E9627" s="720" t="s">
        <v>1865</v>
      </c>
      <c r="F9627" s="712" t="s">
        <v>1007</v>
      </c>
      <c r="G9627" s="714" t="s">
        <v>26</v>
      </c>
    </row>
    <row r="9628" spans="1:7" ht="19.899999999999999" customHeight="1" x14ac:dyDescent="0.2">
      <c r="A9628" s="491" t="s">
        <v>577</v>
      </c>
      <c r="B9628" s="491" t="s">
        <v>578</v>
      </c>
      <c r="C9628" s="709"/>
      <c r="D9628" s="721"/>
      <c r="E9628" s="711"/>
      <c r="F9628" s="713"/>
      <c r="G9628" s="715"/>
    </row>
    <row r="9629" spans="1:7" ht="19.899999999999999" customHeight="1" x14ac:dyDescent="0.2">
      <c r="A9629" s="527"/>
      <c r="B9629" s="175"/>
      <c r="C9629" s="469" t="s">
        <v>1008</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27</v>
      </c>
      <c r="G9639" s="531">
        <f>SUBTOTAL(9,G9630:G9638)</f>
        <v>0</v>
      </c>
    </row>
    <row r="9640" spans="1:7" ht="19.899999999999999" customHeight="1" x14ac:dyDescent="0.2">
      <c r="A9640" s="527"/>
      <c r="B9640" s="175"/>
      <c r="C9640" s="469" t="s">
        <v>713</v>
      </c>
      <c r="D9640" s="473"/>
      <c r="E9640" s="474"/>
      <c r="F9640" s="475"/>
      <c r="G9640" s="528"/>
    </row>
    <row r="9641" spans="1:7" ht="19.899999999999999" customHeight="1" x14ac:dyDescent="0.2">
      <c r="A9641" s="706" t="s">
        <v>576</v>
      </c>
      <c r="B9641" s="707"/>
      <c r="C9641" s="708" t="s">
        <v>0</v>
      </c>
      <c r="D9641" s="710" t="s">
        <v>24</v>
      </c>
      <c r="E9641" s="710" t="s">
        <v>1832</v>
      </c>
      <c r="F9641" s="712" t="s">
        <v>1007</v>
      </c>
      <c r="G9641" s="714" t="s">
        <v>26</v>
      </c>
    </row>
    <row r="9642" spans="1:7" ht="19.899999999999999" customHeight="1" x14ac:dyDescent="0.2">
      <c r="A9642" s="491" t="s">
        <v>577</v>
      </c>
      <c r="B9642" s="491" t="s">
        <v>578</v>
      </c>
      <c r="C9642" s="709"/>
      <c r="D9642" s="711"/>
      <c r="E9642" s="711"/>
      <c r="F9642" s="713"/>
      <c r="G9642" s="715"/>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28</v>
      </c>
      <c r="G9650" s="532">
        <f>SUBTOTAL(9,G9643:G9649)</f>
        <v>0</v>
      </c>
    </row>
    <row r="9651" spans="1:7" ht="19.899999999999999" customHeight="1" x14ac:dyDescent="0.2">
      <c r="A9651" s="527"/>
      <c r="B9651" s="175"/>
      <c r="C9651" s="469" t="s">
        <v>1014</v>
      </c>
      <c r="D9651" s="473"/>
      <c r="E9651" s="474"/>
      <c r="F9651" s="475"/>
      <c r="G9651" s="528"/>
    </row>
    <row r="9652" spans="1:7" ht="19.899999999999999" customHeight="1" x14ac:dyDescent="0.2">
      <c r="A9652" s="706" t="s">
        <v>576</v>
      </c>
      <c r="B9652" s="707"/>
      <c r="C9652" s="708" t="s">
        <v>0</v>
      </c>
      <c r="D9652" s="708" t="s">
        <v>1867</v>
      </c>
      <c r="E9652" s="710" t="s">
        <v>24</v>
      </c>
      <c r="F9652" s="712" t="s">
        <v>25</v>
      </c>
      <c r="G9652" s="714" t="s">
        <v>26</v>
      </c>
    </row>
    <row r="9653" spans="1:7" ht="19.899999999999999" customHeight="1" x14ac:dyDescent="0.2">
      <c r="A9653" s="491" t="s">
        <v>577</v>
      </c>
      <c r="B9653" s="491" t="s">
        <v>578</v>
      </c>
      <c r="C9653" s="709"/>
      <c r="D9653" s="709"/>
      <c r="E9653" s="711"/>
      <c r="F9653" s="713"/>
      <c r="G9653" s="715"/>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29</v>
      </c>
      <c r="G9665" s="532">
        <f>SUBTOTAL(9,G9654:G9664)</f>
        <v>0</v>
      </c>
    </row>
    <row r="9666" spans="1:7" ht="19.899999999999999" customHeight="1" x14ac:dyDescent="0.2">
      <c r="A9666" s="527"/>
      <c r="B9666" s="175"/>
      <c r="C9666" s="469" t="s">
        <v>1015</v>
      </c>
      <c r="D9666" s="473"/>
      <c r="E9666" s="474"/>
      <c r="F9666" s="475"/>
      <c r="G9666" s="528"/>
    </row>
    <row r="9667" spans="1:7" ht="19.899999999999999" customHeight="1" x14ac:dyDescent="0.2">
      <c r="A9667" s="706" t="s">
        <v>576</v>
      </c>
      <c r="B9667" s="707"/>
      <c r="C9667" s="708" t="s">
        <v>0</v>
      </c>
      <c r="D9667" s="708" t="s">
        <v>1867</v>
      </c>
      <c r="E9667" s="710" t="s">
        <v>24</v>
      </c>
      <c r="F9667" s="712" t="s">
        <v>25</v>
      </c>
      <c r="G9667" s="714" t="s">
        <v>26</v>
      </c>
    </row>
    <row r="9668" spans="1:7" ht="19.899999999999999" customHeight="1" x14ac:dyDescent="0.2">
      <c r="A9668" s="491" t="s">
        <v>577</v>
      </c>
      <c r="B9668" s="491" t="s">
        <v>578</v>
      </c>
      <c r="C9668" s="709"/>
      <c r="D9668" s="709"/>
      <c r="E9668" s="711"/>
      <c r="F9668" s="713"/>
      <c r="G9668" s="715"/>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1016</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1833</v>
      </c>
      <c r="E9673" s="586"/>
      <c r="F9673" s="587" t="str">
        <f ca="1">"$/"&amp;G9607</f>
        <v>$/0</v>
      </c>
      <c r="G9673" s="537">
        <f>SUBTOTAL(9,G9630:G9672)</f>
        <v>0</v>
      </c>
    </row>
    <row r="9674" spans="1:7" ht="19.899999999999999" customHeight="1" x14ac:dyDescent="0.2">
      <c r="A9674" s="533"/>
      <c r="B9674" s="534"/>
      <c r="C9674" s="535"/>
      <c r="D9674" s="535" t="s">
        <v>2043</v>
      </c>
      <c r="E9674" s="536"/>
      <c r="F9674" s="589" t="str">
        <f ca="1">"$/"&amp;G9607</f>
        <v>$/0</v>
      </c>
      <c r="G9674" s="537">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16" t="s">
        <v>31</v>
      </c>
      <c r="B9676" s="717"/>
      <c r="C9676" s="717"/>
      <c r="D9676" s="717"/>
      <c r="E9676" s="717"/>
      <c r="F9676" s="717"/>
      <c r="G9676" s="718"/>
    </row>
    <row r="9677" spans="1:7" ht="19.899999999999999" customHeight="1" x14ac:dyDescent="0.2">
      <c r="A9677" s="516" t="s">
        <v>711</v>
      </c>
      <c r="B9677" s="467" t="str">
        <f>Comitente</f>
        <v>DIRECCIÓN PROVINCIAL DE VIALIDAD</v>
      </c>
      <c r="C9677" s="468"/>
      <c r="D9677" s="469"/>
      <c r="E9677" s="469"/>
      <c r="F9677" s="470"/>
      <c r="G9677" s="517"/>
    </row>
    <row r="9678" spans="1:7" ht="19.899999999999999" customHeight="1" x14ac:dyDescent="0.2">
      <c r="A9678" s="516" t="s">
        <v>712</v>
      </c>
      <c r="B9678" s="467">
        <f>Contratista</f>
        <v>0</v>
      </c>
      <c r="C9678" s="471"/>
      <c r="D9678" s="471"/>
      <c r="E9678" s="471"/>
      <c r="F9678" s="467"/>
      <c r="G9678" s="518"/>
    </row>
    <row r="9679" spans="1:7" ht="19.899999999999999" customHeight="1" x14ac:dyDescent="0.2">
      <c r="A9679" s="516" t="s">
        <v>21</v>
      </c>
      <c r="B9679" s="467" t="str">
        <f>Obra</f>
        <v>OBRA BÁSICA Y PAVIMENTACIÓN CALLE GÜEMES</v>
      </c>
      <c r="C9679" s="471"/>
      <c r="D9679" s="471"/>
      <c r="E9679" s="471"/>
      <c r="F9679" s="467" t="s">
        <v>32</v>
      </c>
      <c r="G9679" s="518">
        <f>Fecha_Base</f>
        <v>0</v>
      </c>
    </row>
    <row r="9680" spans="1:7" ht="19.899999999999999" customHeight="1" x14ac:dyDescent="0.2">
      <c r="A9680" s="519" t="s">
        <v>710</v>
      </c>
      <c r="B9680" s="472" t="str">
        <f>Ubicación</f>
        <v>Rawson - Santa Lucia</v>
      </c>
      <c r="C9680" s="472"/>
      <c r="D9680" s="473"/>
      <c r="E9680" s="474"/>
      <c r="F9680" s="475"/>
      <c r="G9680" s="520"/>
    </row>
    <row r="9681" spans="1:7" ht="19.899999999999999" customHeight="1" x14ac:dyDescent="0.2">
      <c r="A9681" s="519" t="s">
        <v>33</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22</v>
      </c>
      <c r="B9682" s="477" t="str">
        <f>IFERROR(VLOOKUP(COUNTIF($A$1:A9682,"ANALISIS DE PRECIOS"),T_NumeroItem,2,FALSE),"")</f>
        <v/>
      </c>
      <c r="C9682" s="719">
        <f ca="1">IFERROR(VLOOKUP(B9682,T_Computo_Presupuesto,2,FALSE),0)</f>
        <v>0</v>
      </c>
      <c r="D9682" s="719"/>
      <c r="E9682" s="719"/>
      <c r="F9682" s="472" t="s">
        <v>23</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999</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1000</v>
      </c>
      <c r="D9686" s="482" t="s">
        <v>24</v>
      </c>
      <c r="E9686" s="482" t="s">
        <v>1001</v>
      </c>
      <c r="F9686" s="482" t="s">
        <v>1002</v>
      </c>
      <c r="G9686" s="481" t="s">
        <v>1003</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1004</v>
      </c>
      <c r="D9698" s="472" t="s">
        <v>1001</v>
      </c>
      <c r="E9698" s="538">
        <f>SUMPRODUCT(D9687:D9696,E9687:E9696)</f>
        <v>0</v>
      </c>
      <c r="F9698" s="472" t="s">
        <v>1005</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1006</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06" t="s">
        <v>576</v>
      </c>
      <c r="B9702" s="707"/>
      <c r="C9702" s="708" t="s">
        <v>0</v>
      </c>
      <c r="D9702" s="720" t="s">
        <v>1866</v>
      </c>
      <c r="E9702" s="720" t="s">
        <v>1865</v>
      </c>
      <c r="F9702" s="712" t="s">
        <v>1007</v>
      </c>
      <c r="G9702" s="714" t="s">
        <v>26</v>
      </c>
    </row>
    <row r="9703" spans="1:7" ht="19.899999999999999" customHeight="1" x14ac:dyDescent="0.2">
      <c r="A9703" s="491" t="s">
        <v>577</v>
      </c>
      <c r="B9703" s="491" t="s">
        <v>578</v>
      </c>
      <c r="C9703" s="709"/>
      <c r="D9703" s="721"/>
      <c r="E9703" s="711"/>
      <c r="F9703" s="713"/>
      <c r="G9703" s="715"/>
    </row>
    <row r="9704" spans="1:7" ht="19.899999999999999" customHeight="1" x14ac:dyDescent="0.2">
      <c r="A9704" s="527"/>
      <c r="B9704" s="175"/>
      <c r="C9704" s="469" t="s">
        <v>1008</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27</v>
      </c>
      <c r="G9714" s="531">
        <f>SUBTOTAL(9,G9705:G9713)</f>
        <v>0</v>
      </c>
    </row>
    <row r="9715" spans="1:7" ht="19.899999999999999" customHeight="1" x14ac:dyDescent="0.2">
      <c r="A9715" s="527"/>
      <c r="B9715" s="175"/>
      <c r="C9715" s="469" t="s">
        <v>713</v>
      </c>
      <c r="D9715" s="473"/>
      <c r="E9715" s="474"/>
      <c r="F9715" s="475"/>
      <c r="G9715" s="528"/>
    </row>
    <row r="9716" spans="1:7" ht="19.899999999999999" customHeight="1" x14ac:dyDescent="0.2">
      <c r="A9716" s="706" t="s">
        <v>576</v>
      </c>
      <c r="B9716" s="707"/>
      <c r="C9716" s="708" t="s">
        <v>0</v>
      </c>
      <c r="D9716" s="710" t="s">
        <v>24</v>
      </c>
      <c r="E9716" s="710" t="s">
        <v>1832</v>
      </c>
      <c r="F9716" s="712" t="s">
        <v>1007</v>
      </c>
      <c r="G9716" s="714" t="s">
        <v>26</v>
      </c>
    </row>
    <row r="9717" spans="1:7" ht="19.899999999999999" customHeight="1" x14ac:dyDescent="0.2">
      <c r="A9717" s="491" t="s">
        <v>577</v>
      </c>
      <c r="B9717" s="491" t="s">
        <v>578</v>
      </c>
      <c r="C9717" s="709"/>
      <c r="D9717" s="711"/>
      <c r="E9717" s="711"/>
      <c r="F9717" s="713"/>
      <c r="G9717" s="715"/>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28</v>
      </c>
      <c r="G9725" s="532">
        <f>SUBTOTAL(9,G9718:G9724)</f>
        <v>0</v>
      </c>
    </row>
    <row r="9726" spans="1:7" ht="19.899999999999999" customHeight="1" x14ac:dyDescent="0.2">
      <c r="A9726" s="527"/>
      <c r="B9726" s="175"/>
      <c r="C9726" s="469" t="s">
        <v>1014</v>
      </c>
      <c r="D9726" s="473"/>
      <c r="E9726" s="474"/>
      <c r="F9726" s="475"/>
      <c r="G9726" s="528"/>
    </row>
    <row r="9727" spans="1:7" ht="19.899999999999999" customHeight="1" x14ac:dyDescent="0.2">
      <c r="A9727" s="706" t="s">
        <v>576</v>
      </c>
      <c r="B9727" s="707"/>
      <c r="C9727" s="708" t="s">
        <v>0</v>
      </c>
      <c r="D9727" s="708" t="s">
        <v>1867</v>
      </c>
      <c r="E9727" s="710" t="s">
        <v>24</v>
      </c>
      <c r="F9727" s="712" t="s">
        <v>25</v>
      </c>
      <c r="G9727" s="714" t="s">
        <v>26</v>
      </c>
    </row>
    <row r="9728" spans="1:7" ht="19.899999999999999" customHeight="1" x14ac:dyDescent="0.2">
      <c r="A9728" s="491" t="s">
        <v>577</v>
      </c>
      <c r="B9728" s="491" t="s">
        <v>578</v>
      </c>
      <c r="C9728" s="709"/>
      <c r="D9728" s="709"/>
      <c r="E9728" s="711"/>
      <c r="F9728" s="713"/>
      <c r="G9728" s="715"/>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29</v>
      </c>
      <c r="G9740" s="532">
        <f>SUBTOTAL(9,G9729:G9739)</f>
        <v>0</v>
      </c>
    </row>
    <row r="9741" spans="1:7" ht="19.899999999999999" customHeight="1" x14ac:dyDescent="0.2">
      <c r="A9741" s="527"/>
      <c r="B9741" s="175"/>
      <c r="C9741" s="469" t="s">
        <v>1015</v>
      </c>
      <c r="D9741" s="473"/>
      <c r="E9741" s="474"/>
      <c r="F9741" s="475"/>
      <c r="G9741" s="528"/>
    </row>
    <row r="9742" spans="1:7" ht="19.899999999999999" customHeight="1" x14ac:dyDescent="0.2">
      <c r="A9742" s="706" t="s">
        <v>576</v>
      </c>
      <c r="B9742" s="707"/>
      <c r="C9742" s="708" t="s">
        <v>0</v>
      </c>
      <c r="D9742" s="708" t="s">
        <v>1867</v>
      </c>
      <c r="E9742" s="710" t="s">
        <v>24</v>
      </c>
      <c r="F9742" s="712" t="s">
        <v>25</v>
      </c>
      <c r="G9742" s="714" t="s">
        <v>26</v>
      </c>
    </row>
    <row r="9743" spans="1:7" ht="19.899999999999999" customHeight="1" x14ac:dyDescent="0.2">
      <c r="A9743" s="491" t="s">
        <v>577</v>
      </c>
      <c r="B9743" s="491" t="s">
        <v>578</v>
      </c>
      <c r="C9743" s="709"/>
      <c r="D9743" s="709"/>
      <c r="E9743" s="711"/>
      <c r="F9743" s="713"/>
      <c r="G9743" s="715"/>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1016</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1833</v>
      </c>
      <c r="E9748" s="586"/>
      <c r="F9748" s="587" t="str">
        <f ca="1">"$/"&amp;G9682</f>
        <v>$/0</v>
      </c>
      <c r="G9748" s="537">
        <f>SUBTOTAL(9,G9705:G9747)</f>
        <v>0</v>
      </c>
    </row>
    <row r="9749" spans="1:7" ht="19.899999999999999" customHeight="1" x14ac:dyDescent="0.2">
      <c r="A9749" s="533"/>
      <c r="B9749" s="534"/>
      <c r="C9749" s="535"/>
      <c r="D9749" s="535" t="s">
        <v>2043</v>
      </c>
      <c r="E9749" s="536"/>
      <c r="F9749" s="589" t="str">
        <f ca="1">"$/"&amp;G9682</f>
        <v>$/0</v>
      </c>
      <c r="G9749" s="537">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16" t="s">
        <v>31</v>
      </c>
      <c r="B9751" s="717"/>
      <c r="C9751" s="717"/>
      <c r="D9751" s="717"/>
      <c r="E9751" s="717"/>
      <c r="F9751" s="717"/>
      <c r="G9751" s="718"/>
    </row>
    <row r="9752" spans="1:7" ht="19.899999999999999" customHeight="1" x14ac:dyDescent="0.2">
      <c r="A9752" s="516" t="s">
        <v>711</v>
      </c>
      <c r="B9752" s="467" t="str">
        <f>Comitente</f>
        <v>DIRECCIÓN PROVINCIAL DE VIALIDAD</v>
      </c>
      <c r="C9752" s="468"/>
      <c r="D9752" s="469"/>
      <c r="E9752" s="469"/>
      <c r="F9752" s="470"/>
      <c r="G9752" s="517"/>
    </row>
    <row r="9753" spans="1:7" ht="19.899999999999999" customHeight="1" x14ac:dyDescent="0.2">
      <c r="A9753" s="516" t="s">
        <v>712</v>
      </c>
      <c r="B9753" s="467">
        <f>Contratista</f>
        <v>0</v>
      </c>
      <c r="C9753" s="471"/>
      <c r="D9753" s="471"/>
      <c r="E9753" s="471"/>
      <c r="F9753" s="467"/>
      <c r="G9753" s="518"/>
    </row>
    <row r="9754" spans="1:7" ht="19.899999999999999" customHeight="1" x14ac:dyDescent="0.2">
      <c r="A9754" s="516" t="s">
        <v>21</v>
      </c>
      <c r="B9754" s="467" t="str">
        <f>Obra</f>
        <v>OBRA BÁSICA Y PAVIMENTACIÓN CALLE GÜEMES</v>
      </c>
      <c r="C9754" s="471"/>
      <c r="D9754" s="471"/>
      <c r="E9754" s="471"/>
      <c r="F9754" s="467" t="s">
        <v>32</v>
      </c>
      <c r="G9754" s="518">
        <f>Fecha_Base</f>
        <v>0</v>
      </c>
    </row>
    <row r="9755" spans="1:7" ht="19.899999999999999" customHeight="1" x14ac:dyDescent="0.2">
      <c r="A9755" s="519" t="s">
        <v>710</v>
      </c>
      <c r="B9755" s="472" t="str">
        <f>Ubicación</f>
        <v>Rawson - Santa Lucia</v>
      </c>
      <c r="C9755" s="472"/>
      <c r="D9755" s="473"/>
      <c r="E9755" s="474"/>
      <c r="F9755" s="475"/>
      <c r="G9755" s="520"/>
    </row>
    <row r="9756" spans="1:7" ht="19.899999999999999" customHeight="1" x14ac:dyDescent="0.2">
      <c r="A9756" s="519" t="s">
        <v>33</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22</v>
      </c>
      <c r="B9757" s="477" t="str">
        <f>IFERROR(VLOOKUP(COUNTIF($A$1:A9757,"ANALISIS DE PRECIOS"),T_NumeroItem,2,FALSE),"")</f>
        <v/>
      </c>
      <c r="C9757" s="719">
        <f ca="1">IFERROR(VLOOKUP(B9757,T_Computo_Presupuesto,2,FALSE),0)</f>
        <v>0</v>
      </c>
      <c r="D9757" s="719"/>
      <c r="E9757" s="719"/>
      <c r="F9757" s="472" t="s">
        <v>23</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999</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1000</v>
      </c>
      <c r="D9761" s="482" t="s">
        <v>24</v>
      </c>
      <c r="E9761" s="482" t="s">
        <v>1001</v>
      </c>
      <c r="F9761" s="482" t="s">
        <v>1002</v>
      </c>
      <c r="G9761" s="481" t="s">
        <v>1003</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1004</v>
      </c>
      <c r="D9773" s="472" t="s">
        <v>1001</v>
      </c>
      <c r="E9773" s="538">
        <f>SUMPRODUCT(D9762:D9771,E9762:E9771)</f>
        <v>0</v>
      </c>
      <c r="F9773" s="472" t="s">
        <v>1005</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1006</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06" t="s">
        <v>576</v>
      </c>
      <c r="B9777" s="707"/>
      <c r="C9777" s="708" t="s">
        <v>0</v>
      </c>
      <c r="D9777" s="720" t="s">
        <v>1866</v>
      </c>
      <c r="E9777" s="720" t="s">
        <v>1865</v>
      </c>
      <c r="F9777" s="712" t="s">
        <v>1007</v>
      </c>
      <c r="G9777" s="714" t="s">
        <v>26</v>
      </c>
    </row>
    <row r="9778" spans="1:7" ht="19.899999999999999" customHeight="1" x14ac:dyDescent="0.2">
      <c r="A9778" s="491" t="s">
        <v>577</v>
      </c>
      <c r="B9778" s="491" t="s">
        <v>578</v>
      </c>
      <c r="C9778" s="709"/>
      <c r="D9778" s="721"/>
      <c r="E9778" s="711"/>
      <c r="F9778" s="713"/>
      <c r="G9778" s="715"/>
    </row>
    <row r="9779" spans="1:7" ht="19.899999999999999" customHeight="1" x14ac:dyDescent="0.2">
      <c r="A9779" s="527"/>
      <c r="B9779" s="175"/>
      <c r="C9779" s="469" t="s">
        <v>1008</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27</v>
      </c>
      <c r="G9789" s="531">
        <f>SUBTOTAL(9,G9780:G9788)</f>
        <v>0</v>
      </c>
    </row>
    <row r="9790" spans="1:7" ht="19.899999999999999" customHeight="1" x14ac:dyDescent="0.2">
      <c r="A9790" s="527"/>
      <c r="B9790" s="175"/>
      <c r="C9790" s="469" t="s">
        <v>713</v>
      </c>
      <c r="D9790" s="473"/>
      <c r="E9790" s="474"/>
      <c r="F9790" s="475"/>
      <c r="G9790" s="528"/>
    </row>
    <row r="9791" spans="1:7" ht="19.899999999999999" customHeight="1" x14ac:dyDescent="0.2">
      <c r="A9791" s="706" t="s">
        <v>576</v>
      </c>
      <c r="B9791" s="707"/>
      <c r="C9791" s="708" t="s">
        <v>0</v>
      </c>
      <c r="D9791" s="710" t="s">
        <v>24</v>
      </c>
      <c r="E9791" s="710" t="s">
        <v>1832</v>
      </c>
      <c r="F9791" s="712" t="s">
        <v>1007</v>
      </c>
      <c r="G9791" s="714" t="s">
        <v>26</v>
      </c>
    </row>
    <row r="9792" spans="1:7" ht="19.899999999999999" customHeight="1" x14ac:dyDescent="0.2">
      <c r="A9792" s="491" t="s">
        <v>577</v>
      </c>
      <c r="B9792" s="491" t="s">
        <v>578</v>
      </c>
      <c r="C9792" s="709"/>
      <c r="D9792" s="711"/>
      <c r="E9792" s="711"/>
      <c r="F9792" s="713"/>
      <c r="G9792" s="715"/>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28</v>
      </c>
      <c r="G9800" s="532">
        <f>SUBTOTAL(9,G9793:G9799)</f>
        <v>0</v>
      </c>
    </row>
    <row r="9801" spans="1:7" ht="19.899999999999999" customHeight="1" x14ac:dyDescent="0.2">
      <c r="A9801" s="527"/>
      <c r="B9801" s="175"/>
      <c r="C9801" s="469" t="s">
        <v>1014</v>
      </c>
      <c r="D9801" s="473"/>
      <c r="E9801" s="474"/>
      <c r="F9801" s="475"/>
      <c r="G9801" s="528"/>
    </row>
    <row r="9802" spans="1:7" ht="19.899999999999999" customHeight="1" x14ac:dyDescent="0.2">
      <c r="A9802" s="706" t="s">
        <v>576</v>
      </c>
      <c r="B9802" s="707"/>
      <c r="C9802" s="708" t="s">
        <v>0</v>
      </c>
      <c r="D9802" s="708" t="s">
        <v>1867</v>
      </c>
      <c r="E9802" s="710" t="s">
        <v>24</v>
      </c>
      <c r="F9802" s="712" t="s">
        <v>25</v>
      </c>
      <c r="G9802" s="714" t="s">
        <v>26</v>
      </c>
    </row>
    <row r="9803" spans="1:7" ht="19.899999999999999" customHeight="1" x14ac:dyDescent="0.2">
      <c r="A9803" s="491" t="s">
        <v>577</v>
      </c>
      <c r="B9803" s="491" t="s">
        <v>578</v>
      </c>
      <c r="C9803" s="709"/>
      <c r="D9803" s="709"/>
      <c r="E9803" s="711"/>
      <c r="F9803" s="713"/>
      <c r="G9803" s="715"/>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29</v>
      </c>
      <c r="G9815" s="532">
        <f>SUBTOTAL(9,G9804:G9814)</f>
        <v>0</v>
      </c>
    </row>
    <row r="9816" spans="1:7" ht="19.899999999999999" customHeight="1" x14ac:dyDescent="0.2">
      <c r="A9816" s="527"/>
      <c r="B9816" s="175"/>
      <c r="C9816" s="469" t="s">
        <v>1015</v>
      </c>
      <c r="D9816" s="473"/>
      <c r="E9816" s="474"/>
      <c r="F9816" s="475"/>
      <c r="G9816" s="528"/>
    </row>
    <row r="9817" spans="1:7" ht="19.899999999999999" customHeight="1" x14ac:dyDescent="0.2">
      <c r="A9817" s="706" t="s">
        <v>576</v>
      </c>
      <c r="B9817" s="707"/>
      <c r="C9817" s="708" t="s">
        <v>0</v>
      </c>
      <c r="D9817" s="708" t="s">
        <v>1867</v>
      </c>
      <c r="E9817" s="710" t="s">
        <v>24</v>
      </c>
      <c r="F9817" s="712" t="s">
        <v>25</v>
      </c>
      <c r="G9817" s="714" t="s">
        <v>26</v>
      </c>
    </row>
    <row r="9818" spans="1:7" ht="19.899999999999999" customHeight="1" x14ac:dyDescent="0.2">
      <c r="A9818" s="491" t="s">
        <v>577</v>
      </c>
      <c r="B9818" s="491" t="s">
        <v>578</v>
      </c>
      <c r="C9818" s="709"/>
      <c r="D9818" s="709"/>
      <c r="E9818" s="711"/>
      <c r="F9818" s="713"/>
      <c r="G9818" s="715"/>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1016</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1833</v>
      </c>
      <c r="E9823" s="586"/>
      <c r="F9823" s="587" t="str">
        <f ca="1">"$/"&amp;G9757</f>
        <v>$/0</v>
      </c>
      <c r="G9823" s="537">
        <f>SUBTOTAL(9,G9780:G9822)</f>
        <v>0</v>
      </c>
    </row>
    <row r="9824" spans="1:7" ht="19.899999999999999" customHeight="1" x14ac:dyDescent="0.2">
      <c r="A9824" s="533"/>
      <c r="B9824" s="534"/>
      <c r="C9824" s="535"/>
      <c r="D9824" s="535" t="s">
        <v>2043</v>
      </c>
      <c r="E9824" s="536"/>
      <c r="F9824" s="589" t="str">
        <f ca="1">"$/"&amp;G9757</f>
        <v>$/0</v>
      </c>
      <c r="G9824" s="537">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16" t="s">
        <v>31</v>
      </c>
      <c r="B9826" s="717"/>
      <c r="C9826" s="717"/>
      <c r="D9826" s="717"/>
      <c r="E9826" s="717"/>
      <c r="F9826" s="717"/>
      <c r="G9826" s="718"/>
    </row>
    <row r="9827" spans="1:7" ht="19.899999999999999" customHeight="1" x14ac:dyDescent="0.2">
      <c r="A9827" s="516" t="s">
        <v>711</v>
      </c>
      <c r="B9827" s="467" t="str">
        <f>Comitente</f>
        <v>DIRECCIÓN PROVINCIAL DE VIALIDAD</v>
      </c>
      <c r="C9827" s="468"/>
      <c r="D9827" s="469"/>
      <c r="E9827" s="469"/>
      <c r="F9827" s="470"/>
      <c r="G9827" s="517"/>
    </row>
    <row r="9828" spans="1:7" ht="19.899999999999999" customHeight="1" x14ac:dyDescent="0.2">
      <c r="A9828" s="516" t="s">
        <v>712</v>
      </c>
      <c r="B9828" s="467">
        <f>Contratista</f>
        <v>0</v>
      </c>
      <c r="C9828" s="471"/>
      <c r="D9828" s="471"/>
      <c r="E9828" s="471"/>
      <c r="F9828" s="467"/>
      <c r="G9828" s="518"/>
    </row>
    <row r="9829" spans="1:7" ht="19.899999999999999" customHeight="1" x14ac:dyDescent="0.2">
      <c r="A9829" s="516" t="s">
        <v>21</v>
      </c>
      <c r="B9829" s="467" t="str">
        <f>Obra</f>
        <v>OBRA BÁSICA Y PAVIMENTACIÓN CALLE GÜEMES</v>
      </c>
      <c r="C9829" s="471"/>
      <c r="D9829" s="471"/>
      <c r="E9829" s="471"/>
      <c r="F9829" s="467" t="s">
        <v>32</v>
      </c>
      <c r="G9829" s="518">
        <f>Fecha_Base</f>
        <v>0</v>
      </c>
    </row>
    <row r="9830" spans="1:7" ht="19.899999999999999" customHeight="1" x14ac:dyDescent="0.2">
      <c r="A9830" s="519" t="s">
        <v>710</v>
      </c>
      <c r="B9830" s="472" t="str">
        <f>Ubicación</f>
        <v>Rawson - Santa Lucia</v>
      </c>
      <c r="C9830" s="472"/>
      <c r="D9830" s="473"/>
      <c r="E9830" s="474"/>
      <c r="F9830" s="475"/>
      <c r="G9830" s="520"/>
    </row>
    <row r="9831" spans="1:7" ht="19.899999999999999" customHeight="1" x14ac:dyDescent="0.2">
      <c r="A9831" s="519" t="s">
        <v>33</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22</v>
      </c>
      <c r="B9832" s="477" t="str">
        <f>IFERROR(VLOOKUP(COUNTIF($A$1:A9832,"ANALISIS DE PRECIOS"),T_NumeroItem,2,FALSE),"")</f>
        <v/>
      </c>
      <c r="C9832" s="719">
        <f ca="1">IFERROR(VLOOKUP(B9832,T_Computo_Presupuesto,2,FALSE),0)</f>
        <v>0</v>
      </c>
      <c r="D9832" s="719"/>
      <c r="E9832" s="719"/>
      <c r="F9832" s="472" t="s">
        <v>23</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999</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1000</v>
      </c>
      <c r="D9836" s="482" t="s">
        <v>24</v>
      </c>
      <c r="E9836" s="482" t="s">
        <v>1001</v>
      </c>
      <c r="F9836" s="482" t="s">
        <v>1002</v>
      </c>
      <c r="G9836" s="481" t="s">
        <v>1003</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1004</v>
      </c>
      <c r="D9848" s="472" t="s">
        <v>1001</v>
      </c>
      <c r="E9848" s="538">
        <f>SUMPRODUCT(D9837:D9846,E9837:E9846)</f>
        <v>0</v>
      </c>
      <c r="F9848" s="472" t="s">
        <v>1005</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1006</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06" t="s">
        <v>576</v>
      </c>
      <c r="B9852" s="707"/>
      <c r="C9852" s="708" t="s">
        <v>0</v>
      </c>
      <c r="D9852" s="720" t="s">
        <v>1866</v>
      </c>
      <c r="E9852" s="720" t="s">
        <v>1865</v>
      </c>
      <c r="F9852" s="712" t="s">
        <v>1007</v>
      </c>
      <c r="G9852" s="714" t="s">
        <v>26</v>
      </c>
    </row>
    <row r="9853" spans="1:7" ht="19.899999999999999" customHeight="1" x14ac:dyDescent="0.2">
      <c r="A9853" s="491" t="s">
        <v>577</v>
      </c>
      <c r="B9853" s="491" t="s">
        <v>578</v>
      </c>
      <c r="C9853" s="709"/>
      <c r="D9853" s="721"/>
      <c r="E9853" s="711"/>
      <c r="F9853" s="713"/>
      <c r="G9853" s="715"/>
    </row>
    <row r="9854" spans="1:7" ht="19.899999999999999" customHeight="1" x14ac:dyDescent="0.2">
      <c r="A9854" s="527"/>
      <c r="B9854" s="175"/>
      <c r="C9854" s="469" t="s">
        <v>1008</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27</v>
      </c>
      <c r="G9864" s="531">
        <f>SUBTOTAL(9,G9855:G9863)</f>
        <v>0</v>
      </c>
    </row>
    <row r="9865" spans="1:7" ht="19.899999999999999" customHeight="1" x14ac:dyDescent="0.2">
      <c r="A9865" s="527"/>
      <c r="B9865" s="175"/>
      <c r="C9865" s="469" t="s">
        <v>713</v>
      </c>
      <c r="D9865" s="473"/>
      <c r="E9865" s="474"/>
      <c r="F9865" s="475"/>
      <c r="G9865" s="528"/>
    </row>
    <row r="9866" spans="1:7" ht="19.899999999999999" customHeight="1" x14ac:dyDescent="0.2">
      <c r="A9866" s="706" t="s">
        <v>576</v>
      </c>
      <c r="B9866" s="707"/>
      <c r="C9866" s="708" t="s">
        <v>0</v>
      </c>
      <c r="D9866" s="710" t="s">
        <v>24</v>
      </c>
      <c r="E9866" s="710" t="s">
        <v>1832</v>
      </c>
      <c r="F9866" s="712" t="s">
        <v>1007</v>
      </c>
      <c r="G9866" s="714" t="s">
        <v>26</v>
      </c>
    </row>
    <row r="9867" spans="1:7" ht="19.899999999999999" customHeight="1" x14ac:dyDescent="0.2">
      <c r="A9867" s="491" t="s">
        <v>577</v>
      </c>
      <c r="B9867" s="491" t="s">
        <v>578</v>
      </c>
      <c r="C9867" s="709"/>
      <c r="D9867" s="711"/>
      <c r="E9867" s="711"/>
      <c r="F9867" s="713"/>
      <c r="G9867" s="715"/>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28</v>
      </c>
      <c r="G9875" s="532">
        <f>SUBTOTAL(9,G9868:G9874)</f>
        <v>0</v>
      </c>
    </row>
    <row r="9876" spans="1:7" ht="19.899999999999999" customHeight="1" x14ac:dyDescent="0.2">
      <c r="A9876" s="527"/>
      <c r="B9876" s="175"/>
      <c r="C9876" s="469" t="s">
        <v>1014</v>
      </c>
      <c r="D9876" s="473"/>
      <c r="E9876" s="474"/>
      <c r="F9876" s="475"/>
      <c r="G9876" s="528"/>
    </row>
    <row r="9877" spans="1:7" ht="19.899999999999999" customHeight="1" x14ac:dyDescent="0.2">
      <c r="A9877" s="706" t="s">
        <v>576</v>
      </c>
      <c r="B9877" s="707"/>
      <c r="C9877" s="708" t="s">
        <v>0</v>
      </c>
      <c r="D9877" s="708" t="s">
        <v>1867</v>
      </c>
      <c r="E9877" s="710" t="s">
        <v>24</v>
      </c>
      <c r="F9877" s="712" t="s">
        <v>25</v>
      </c>
      <c r="G9877" s="714" t="s">
        <v>26</v>
      </c>
    </row>
    <row r="9878" spans="1:7" ht="19.899999999999999" customHeight="1" x14ac:dyDescent="0.2">
      <c r="A9878" s="491" t="s">
        <v>577</v>
      </c>
      <c r="B9878" s="491" t="s">
        <v>578</v>
      </c>
      <c r="C9878" s="709"/>
      <c r="D9878" s="709"/>
      <c r="E9878" s="711"/>
      <c r="F9878" s="713"/>
      <c r="G9878" s="715"/>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29</v>
      </c>
      <c r="G9890" s="532">
        <f>SUBTOTAL(9,G9879:G9889)</f>
        <v>0</v>
      </c>
    </row>
    <row r="9891" spans="1:7" ht="19.899999999999999" customHeight="1" x14ac:dyDescent="0.2">
      <c r="A9891" s="527"/>
      <c r="B9891" s="175"/>
      <c r="C9891" s="469" t="s">
        <v>1015</v>
      </c>
      <c r="D9891" s="473"/>
      <c r="E9891" s="474"/>
      <c r="F9891" s="475"/>
      <c r="G9891" s="528"/>
    </row>
    <row r="9892" spans="1:7" ht="19.899999999999999" customHeight="1" x14ac:dyDescent="0.2">
      <c r="A9892" s="706" t="s">
        <v>576</v>
      </c>
      <c r="B9892" s="707"/>
      <c r="C9892" s="708" t="s">
        <v>0</v>
      </c>
      <c r="D9892" s="708" t="s">
        <v>1867</v>
      </c>
      <c r="E9892" s="710" t="s">
        <v>24</v>
      </c>
      <c r="F9892" s="712" t="s">
        <v>25</v>
      </c>
      <c r="G9892" s="714" t="s">
        <v>26</v>
      </c>
    </row>
    <row r="9893" spans="1:7" ht="19.899999999999999" customHeight="1" x14ac:dyDescent="0.2">
      <c r="A9893" s="491" t="s">
        <v>577</v>
      </c>
      <c r="B9893" s="491" t="s">
        <v>578</v>
      </c>
      <c r="C9893" s="709"/>
      <c r="D9893" s="709"/>
      <c r="E9893" s="711"/>
      <c r="F9893" s="713"/>
      <c r="G9893" s="715"/>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1016</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1833</v>
      </c>
      <c r="E9898" s="586"/>
      <c r="F9898" s="587" t="str">
        <f ca="1">"$/"&amp;G9832</f>
        <v>$/0</v>
      </c>
      <c r="G9898" s="537">
        <f>SUBTOTAL(9,G9855:G9897)</f>
        <v>0</v>
      </c>
    </row>
    <row r="9899" spans="1:7" ht="19.899999999999999" customHeight="1" x14ac:dyDescent="0.2">
      <c r="A9899" s="533"/>
      <c r="B9899" s="534"/>
      <c r="C9899" s="535"/>
      <c r="D9899" s="535" t="s">
        <v>2043</v>
      </c>
      <c r="E9899" s="536"/>
      <c r="F9899" s="589" t="str">
        <f ca="1">"$/"&amp;G9832</f>
        <v>$/0</v>
      </c>
      <c r="G9899" s="537">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16" t="s">
        <v>31</v>
      </c>
      <c r="B9901" s="717"/>
      <c r="C9901" s="717"/>
      <c r="D9901" s="717"/>
      <c r="E9901" s="717"/>
      <c r="F9901" s="717"/>
      <c r="G9901" s="718"/>
    </row>
    <row r="9902" spans="1:7" ht="19.899999999999999" customHeight="1" x14ac:dyDescent="0.2">
      <c r="A9902" s="516" t="s">
        <v>711</v>
      </c>
      <c r="B9902" s="467" t="str">
        <f>Comitente</f>
        <v>DIRECCIÓN PROVINCIAL DE VIALIDAD</v>
      </c>
      <c r="C9902" s="468"/>
      <c r="D9902" s="469"/>
      <c r="E9902" s="469"/>
      <c r="F9902" s="470"/>
      <c r="G9902" s="517"/>
    </row>
    <row r="9903" spans="1:7" ht="19.899999999999999" customHeight="1" x14ac:dyDescent="0.2">
      <c r="A9903" s="516" t="s">
        <v>712</v>
      </c>
      <c r="B9903" s="467">
        <f>Contratista</f>
        <v>0</v>
      </c>
      <c r="C9903" s="471"/>
      <c r="D9903" s="471"/>
      <c r="E9903" s="471"/>
      <c r="F9903" s="467"/>
      <c r="G9903" s="518"/>
    </row>
    <row r="9904" spans="1:7" ht="19.899999999999999" customHeight="1" x14ac:dyDescent="0.2">
      <c r="A9904" s="516" t="s">
        <v>21</v>
      </c>
      <c r="B9904" s="467" t="str">
        <f>Obra</f>
        <v>OBRA BÁSICA Y PAVIMENTACIÓN CALLE GÜEMES</v>
      </c>
      <c r="C9904" s="471"/>
      <c r="D9904" s="471"/>
      <c r="E9904" s="471"/>
      <c r="F9904" s="467" t="s">
        <v>32</v>
      </c>
      <c r="G9904" s="518">
        <f>Fecha_Base</f>
        <v>0</v>
      </c>
    </row>
    <row r="9905" spans="1:7" ht="19.899999999999999" customHeight="1" x14ac:dyDescent="0.2">
      <c r="A9905" s="519" t="s">
        <v>710</v>
      </c>
      <c r="B9905" s="472" t="str">
        <f>Ubicación</f>
        <v>Rawson - Santa Lucia</v>
      </c>
      <c r="C9905" s="472"/>
      <c r="D9905" s="473"/>
      <c r="E9905" s="474"/>
      <c r="F9905" s="475"/>
      <c r="G9905" s="520"/>
    </row>
    <row r="9906" spans="1:7" ht="19.899999999999999" customHeight="1" x14ac:dyDescent="0.2">
      <c r="A9906" s="519" t="s">
        <v>33</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22</v>
      </c>
      <c r="B9907" s="477" t="str">
        <f>IFERROR(VLOOKUP(COUNTIF($A$1:A9907,"ANALISIS DE PRECIOS"),T_NumeroItem,2,FALSE),"")</f>
        <v/>
      </c>
      <c r="C9907" s="719">
        <f ca="1">IFERROR(VLOOKUP(B9907,T_Computo_Presupuesto,2,FALSE),0)</f>
        <v>0</v>
      </c>
      <c r="D9907" s="719"/>
      <c r="E9907" s="719"/>
      <c r="F9907" s="472" t="s">
        <v>23</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999</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1000</v>
      </c>
      <c r="D9911" s="482" t="s">
        <v>24</v>
      </c>
      <c r="E9911" s="482" t="s">
        <v>1001</v>
      </c>
      <c r="F9911" s="482" t="s">
        <v>1002</v>
      </c>
      <c r="G9911" s="481" t="s">
        <v>1003</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1004</v>
      </c>
      <c r="D9923" s="472" t="s">
        <v>1001</v>
      </c>
      <c r="E9923" s="538">
        <f>SUMPRODUCT(D9912:D9921,E9912:E9921)</f>
        <v>0</v>
      </c>
      <c r="F9923" s="472" t="s">
        <v>1005</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1006</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06" t="s">
        <v>576</v>
      </c>
      <c r="B9927" s="707"/>
      <c r="C9927" s="708" t="s">
        <v>0</v>
      </c>
      <c r="D9927" s="720" t="s">
        <v>1866</v>
      </c>
      <c r="E9927" s="720" t="s">
        <v>1865</v>
      </c>
      <c r="F9927" s="712" t="s">
        <v>1007</v>
      </c>
      <c r="G9927" s="714" t="s">
        <v>26</v>
      </c>
    </row>
    <row r="9928" spans="1:7" ht="19.899999999999999" customHeight="1" x14ac:dyDescent="0.2">
      <c r="A9928" s="491" t="s">
        <v>577</v>
      </c>
      <c r="B9928" s="491" t="s">
        <v>578</v>
      </c>
      <c r="C9928" s="709"/>
      <c r="D9928" s="721"/>
      <c r="E9928" s="711"/>
      <c r="F9928" s="713"/>
      <c r="G9928" s="715"/>
    </row>
    <row r="9929" spans="1:7" ht="19.899999999999999" customHeight="1" x14ac:dyDescent="0.2">
      <c r="A9929" s="527"/>
      <c r="B9929" s="175"/>
      <c r="C9929" s="469" t="s">
        <v>1008</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27</v>
      </c>
      <c r="G9939" s="531">
        <f>SUBTOTAL(9,G9930:G9938)</f>
        <v>0</v>
      </c>
    </row>
    <row r="9940" spans="1:7" ht="19.899999999999999" customHeight="1" x14ac:dyDescent="0.2">
      <c r="A9940" s="527"/>
      <c r="B9940" s="175"/>
      <c r="C9940" s="469" t="s">
        <v>713</v>
      </c>
      <c r="D9940" s="473"/>
      <c r="E9940" s="474"/>
      <c r="F9940" s="475"/>
      <c r="G9940" s="528"/>
    </row>
    <row r="9941" spans="1:7" ht="19.899999999999999" customHeight="1" x14ac:dyDescent="0.2">
      <c r="A9941" s="706" t="s">
        <v>576</v>
      </c>
      <c r="B9941" s="707"/>
      <c r="C9941" s="708" t="s">
        <v>0</v>
      </c>
      <c r="D9941" s="710" t="s">
        <v>24</v>
      </c>
      <c r="E9941" s="710" t="s">
        <v>1832</v>
      </c>
      <c r="F9941" s="712" t="s">
        <v>1007</v>
      </c>
      <c r="G9941" s="714" t="s">
        <v>26</v>
      </c>
    </row>
    <row r="9942" spans="1:7" ht="19.899999999999999" customHeight="1" x14ac:dyDescent="0.2">
      <c r="A9942" s="491" t="s">
        <v>577</v>
      </c>
      <c r="B9942" s="491" t="s">
        <v>578</v>
      </c>
      <c r="C9942" s="709"/>
      <c r="D9942" s="711"/>
      <c r="E9942" s="711"/>
      <c r="F9942" s="713"/>
      <c r="G9942" s="715"/>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28</v>
      </c>
      <c r="G9950" s="532">
        <f>SUBTOTAL(9,G9943:G9949)</f>
        <v>0</v>
      </c>
    </row>
    <row r="9951" spans="1:7" ht="19.899999999999999" customHeight="1" x14ac:dyDescent="0.2">
      <c r="A9951" s="527"/>
      <c r="B9951" s="175"/>
      <c r="C9951" s="469" t="s">
        <v>1014</v>
      </c>
      <c r="D9951" s="473"/>
      <c r="E9951" s="474"/>
      <c r="F9951" s="475"/>
      <c r="G9951" s="528"/>
    </row>
    <row r="9952" spans="1:7" ht="19.899999999999999" customHeight="1" x14ac:dyDescent="0.2">
      <c r="A9952" s="706" t="s">
        <v>576</v>
      </c>
      <c r="B9952" s="707"/>
      <c r="C9952" s="708" t="s">
        <v>0</v>
      </c>
      <c r="D9952" s="708" t="s">
        <v>1867</v>
      </c>
      <c r="E9952" s="710" t="s">
        <v>24</v>
      </c>
      <c r="F9952" s="712" t="s">
        <v>25</v>
      </c>
      <c r="G9952" s="714" t="s">
        <v>26</v>
      </c>
    </row>
    <row r="9953" spans="1:7" ht="19.899999999999999" customHeight="1" x14ac:dyDescent="0.2">
      <c r="A9953" s="491" t="s">
        <v>577</v>
      </c>
      <c r="B9953" s="491" t="s">
        <v>578</v>
      </c>
      <c r="C9953" s="709"/>
      <c r="D9953" s="709"/>
      <c r="E9953" s="711"/>
      <c r="F9953" s="713"/>
      <c r="G9953" s="715"/>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29</v>
      </c>
      <c r="G9965" s="532">
        <f>SUBTOTAL(9,G9954:G9964)</f>
        <v>0</v>
      </c>
    </row>
    <row r="9966" spans="1:7" ht="19.899999999999999" customHeight="1" x14ac:dyDescent="0.2">
      <c r="A9966" s="527"/>
      <c r="B9966" s="175"/>
      <c r="C9966" s="469" t="s">
        <v>1015</v>
      </c>
      <c r="D9966" s="473"/>
      <c r="E9966" s="474"/>
      <c r="F9966" s="475"/>
      <c r="G9966" s="528"/>
    </row>
    <row r="9967" spans="1:7" ht="19.899999999999999" customHeight="1" x14ac:dyDescent="0.2">
      <c r="A9967" s="706" t="s">
        <v>576</v>
      </c>
      <c r="B9967" s="707"/>
      <c r="C9967" s="708" t="s">
        <v>0</v>
      </c>
      <c r="D9967" s="708" t="s">
        <v>1867</v>
      </c>
      <c r="E9967" s="710" t="s">
        <v>24</v>
      </c>
      <c r="F9967" s="712" t="s">
        <v>25</v>
      </c>
      <c r="G9967" s="714" t="s">
        <v>26</v>
      </c>
    </row>
    <row r="9968" spans="1:7" ht="19.899999999999999" customHeight="1" x14ac:dyDescent="0.2">
      <c r="A9968" s="491" t="s">
        <v>577</v>
      </c>
      <c r="B9968" s="491" t="s">
        <v>578</v>
      </c>
      <c r="C9968" s="709"/>
      <c r="D9968" s="709"/>
      <c r="E9968" s="711"/>
      <c r="F9968" s="713"/>
      <c r="G9968" s="715"/>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1016</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1833</v>
      </c>
      <c r="E9973" s="586"/>
      <c r="F9973" s="587" t="str">
        <f ca="1">"$/"&amp;G9907</f>
        <v>$/0</v>
      </c>
      <c r="G9973" s="537">
        <f>SUBTOTAL(9,G9930:G9972)</f>
        <v>0</v>
      </c>
    </row>
    <row r="9974" spans="1:7" ht="19.899999999999999" customHeight="1" x14ac:dyDescent="0.2">
      <c r="A9974" s="533"/>
      <c r="B9974" s="534"/>
      <c r="C9974" s="535"/>
      <c r="D9974" s="535" t="s">
        <v>2043</v>
      </c>
      <c r="E9974" s="536"/>
      <c r="F9974" s="589" t="str">
        <f ca="1">"$/"&amp;G9907</f>
        <v>$/0</v>
      </c>
      <c r="G9974" s="537">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16" t="s">
        <v>31</v>
      </c>
      <c r="B9976" s="717"/>
      <c r="C9976" s="717"/>
      <c r="D9976" s="717"/>
      <c r="E9976" s="717"/>
      <c r="F9976" s="717"/>
      <c r="G9976" s="718"/>
    </row>
    <row r="9977" spans="1:7" ht="19.899999999999999" customHeight="1" x14ac:dyDescent="0.2">
      <c r="A9977" s="516" t="s">
        <v>711</v>
      </c>
      <c r="B9977" s="467" t="str">
        <f>Comitente</f>
        <v>DIRECCIÓN PROVINCIAL DE VIALIDAD</v>
      </c>
      <c r="C9977" s="468"/>
      <c r="D9977" s="469"/>
      <c r="E9977" s="469"/>
      <c r="F9977" s="470"/>
      <c r="G9977" s="517"/>
    </row>
    <row r="9978" spans="1:7" ht="19.899999999999999" customHeight="1" x14ac:dyDescent="0.2">
      <c r="A9978" s="516" t="s">
        <v>712</v>
      </c>
      <c r="B9978" s="467">
        <f>Contratista</f>
        <v>0</v>
      </c>
      <c r="C9978" s="471"/>
      <c r="D9978" s="471"/>
      <c r="E9978" s="471"/>
      <c r="F9978" s="467"/>
      <c r="G9978" s="518"/>
    </row>
    <row r="9979" spans="1:7" ht="19.899999999999999" customHeight="1" x14ac:dyDescent="0.2">
      <c r="A9979" s="516" t="s">
        <v>21</v>
      </c>
      <c r="B9979" s="467" t="str">
        <f>Obra</f>
        <v>OBRA BÁSICA Y PAVIMENTACIÓN CALLE GÜEMES</v>
      </c>
      <c r="C9979" s="471"/>
      <c r="D9979" s="471"/>
      <c r="E9979" s="471"/>
      <c r="F9979" s="467" t="s">
        <v>32</v>
      </c>
      <c r="G9979" s="518">
        <f>Fecha_Base</f>
        <v>0</v>
      </c>
    </row>
    <row r="9980" spans="1:7" ht="19.899999999999999" customHeight="1" x14ac:dyDescent="0.2">
      <c r="A9980" s="519" t="s">
        <v>710</v>
      </c>
      <c r="B9980" s="472" t="str">
        <f>Ubicación</f>
        <v>Rawson - Santa Lucia</v>
      </c>
      <c r="C9980" s="472"/>
      <c r="D9980" s="473"/>
      <c r="E9980" s="474"/>
      <c r="F9980" s="475"/>
      <c r="G9980" s="520"/>
    </row>
    <row r="9981" spans="1:7" ht="19.899999999999999" customHeight="1" x14ac:dyDescent="0.2">
      <c r="A9981" s="519" t="s">
        <v>33</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22</v>
      </c>
      <c r="B9982" s="477" t="str">
        <f>IFERROR(VLOOKUP(COUNTIF($A$1:A9982,"ANALISIS DE PRECIOS"),T_NumeroItem,2,FALSE),"")</f>
        <v/>
      </c>
      <c r="C9982" s="719">
        <f ca="1">IFERROR(VLOOKUP(B9982,T_Computo_Presupuesto,2,FALSE),0)</f>
        <v>0</v>
      </c>
      <c r="D9982" s="719"/>
      <c r="E9982" s="719"/>
      <c r="F9982" s="472" t="s">
        <v>23</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999</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1000</v>
      </c>
      <c r="D9986" s="482" t="s">
        <v>24</v>
      </c>
      <c r="E9986" s="482" t="s">
        <v>1001</v>
      </c>
      <c r="F9986" s="482" t="s">
        <v>1002</v>
      </c>
      <c r="G9986" s="481" t="s">
        <v>1003</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1004</v>
      </c>
      <c r="D9998" s="472" t="s">
        <v>1001</v>
      </c>
      <c r="E9998" s="538">
        <f>SUMPRODUCT(D9987:D9996,E9987:E9996)</f>
        <v>0</v>
      </c>
      <c r="F9998" s="472" t="s">
        <v>1005</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1006</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06" t="s">
        <v>576</v>
      </c>
      <c r="B10002" s="707"/>
      <c r="C10002" s="708" t="s">
        <v>0</v>
      </c>
      <c r="D10002" s="720" t="s">
        <v>1866</v>
      </c>
      <c r="E10002" s="720" t="s">
        <v>1865</v>
      </c>
      <c r="F10002" s="712" t="s">
        <v>1007</v>
      </c>
      <c r="G10002" s="714" t="s">
        <v>26</v>
      </c>
    </row>
    <row r="10003" spans="1:7" ht="19.899999999999999" customHeight="1" x14ac:dyDescent="0.2">
      <c r="A10003" s="491" t="s">
        <v>577</v>
      </c>
      <c r="B10003" s="491" t="s">
        <v>578</v>
      </c>
      <c r="C10003" s="709"/>
      <c r="D10003" s="721"/>
      <c r="E10003" s="711"/>
      <c r="F10003" s="713"/>
      <c r="G10003" s="715"/>
    </row>
    <row r="10004" spans="1:7" ht="19.899999999999999" customHeight="1" x14ac:dyDescent="0.2">
      <c r="A10004" s="527"/>
      <c r="B10004" s="175"/>
      <c r="C10004" s="469" t="s">
        <v>1008</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27</v>
      </c>
      <c r="G10014" s="531">
        <f>SUBTOTAL(9,G10005:G10013)</f>
        <v>0</v>
      </c>
    </row>
    <row r="10015" spans="1:7" ht="19.899999999999999" customHeight="1" x14ac:dyDescent="0.2">
      <c r="A10015" s="527"/>
      <c r="B10015" s="175"/>
      <c r="C10015" s="469" t="s">
        <v>713</v>
      </c>
      <c r="D10015" s="473"/>
      <c r="E10015" s="474"/>
      <c r="F10015" s="475"/>
      <c r="G10015" s="528"/>
    </row>
    <row r="10016" spans="1:7" ht="19.899999999999999" customHeight="1" x14ac:dyDescent="0.2">
      <c r="A10016" s="706" t="s">
        <v>576</v>
      </c>
      <c r="B10016" s="707"/>
      <c r="C10016" s="708" t="s">
        <v>0</v>
      </c>
      <c r="D10016" s="710" t="s">
        <v>24</v>
      </c>
      <c r="E10016" s="710" t="s">
        <v>1832</v>
      </c>
      <c r="F10016" s="712" t="s">
        <v>1007</v>
      </c>
      <c r="G10016" s="714" t="s">
        <v>26</v>
      </c>
    </row>
    <row r="10017" spans="1:7" ht="19.899999999999999" customHeight="1" x14ac:dyDescent="0.2">
      <c r="A10017" s="491" t="s">
        <v>577</v>
      </c>
      <c r="B10017" s="491" t="s">
        <v>578</v>
      </c>
      <c r="C10017" s="709"/>
      <c r="D10017" s="711"/>
      <c r="E10017" s="711"/>
      <c r="F10017" s="713"/>
      <c r="G10017" s="715"/>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28</v>
      </c>
      <c r="G10025" s="532">
        <f>SUBTOTAL(9,G10018:G10024)</f>
        <v>0</v>
      </c>
    </row>
    <row r="10026" spans="1:7" ht="19.899999999999999" customHeight="1" x14ac:dyDescent="0.2">
      <c r="A10026" s="527"/>
      <c r="B10026" s="175"/>
      <c r="C10026" s="469" t="s">
        <v>1014</v>
      </c>
      <c r="D10026" s="473"/>
      <c r="E10026" s="474"/>
      <c r="F10026" s="475"/>
      <c r="G10026" s="528"/>
    </row>
    <row r="10027" spans="1:7" ht="19.899999999999999" customHeight="1" x14ac:dyDescent="0.2">
      <c r="A10027" s="706" t="s">
        <v>576</v>
      </c>
      <c r="B10027" s="707"/>
      <c r="C10027" s="708" t="s">
        <v>0</v>
      </c>
      <c r="D10027" s="708" t="s">
        <v>1867</v>
      </c>
      <c r="E10027" s="710" t="s">
        <v>24</v>
      </c>
      <c r="F10027" s="712" t="s">
        <v>25</v>
      </c>
      <c r="G10027" s="714" t="s">
        <v>26</v>
      </c>
    </row>
    <row r="10028" spans="1:7" ht="19.899999999999999" customHeight="1" x14ac:dyDescent="0.2">
      <c r="A10028" s="491" t="s">
        <v>577</v>
      </c>
      <c r="B10028" s="491" t="s">
        <v>578</v>
      </c>
      <c r="C10028" s="709"/>
      <c r="D10028" s="709"/>
      <c r="E10028" s="711"/>
      <c r="F10028" s="713"/>
      <c r="G10028" s="715"/>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29</v>
      </c>
      <c r="G10040" s="532">
        <f>SUBTOTAL(9,G10029:G10039)</f>
        <v>0</v>
      </c>
    </row>
    <row r="10041" spans="1:7" ht="19.899999999999999" customHeight="1" x14ac:dyDescent="0.2">
      <c r="A10041" s="527"/>
      <c r="B10041" s="175"/>
      <c r="C10041" s="469" t="s">
        <v>1015</v>
      </c>
      <c r="D10041" s="473"/>
      <c r="E10041" s="474"/>
      <c r="F10041" s="475"/>
      <c r="G10041" s="528"/>
    </row>
    <row r="10042" spans="1:7" ht="19.899999999999999" customHeight="1" x14ac:dyDescent="0.2">
      <c r="A10042" s="706" t="s">
        <v>576</v>
      </c>
      <c r="B10042" s="707"/>
      <c r="C10042" s="708" t="s">
        <v>0</v>
      </c>
      <c r="D10042" s="708" t="s">
        <v>1867</v>
      </c>
      <c r="E10042" s="710" t="s">
        <v>24</v>
      </c>
      <c r="F10042" s="712" t="s">
        <v>25</v>
      </c>
      <c r="G10042" s="714" t="s">
        <v>26</v>
      </c>
    </row>
    <row r="10043" spans="1:7" ht="19.899999999999999" customHeight="1" x14ac:dyDescent="0.2">
      <c r="A10043" s="491" t="s">
        <v>577</v>
      </c>
      <c r="B10043" s="491" t="s">
        <v>578</v>
      </c>
      <c r="C10043" s="709"/>
      <c r="D10043" s="709"/>
      <c r="E10043" s="711"/>
      <c r="F10043" s="713"/>
      <c r="G10043" s="715"/>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1016</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1833</v>
      </c>
      <c r="E10048" s="586"/>
      <c r="F10048" s="587" t="str">
        <f ca="1">"$/"&amp;G9982</f>
        <v>$/0</v>
      </c>
      <c r="G10048" s="537">
        <f>SUBTOTAL(9,G10005:G10047)</f>
        <v>0</v>
      </c>
    </row>
    <row r="10049" spans="1:7" ht="19.899999999999999" customHeight="1" x14ac:dyDescent="0.2">
      <c r="A10049" s="533"/>
      <c r="B10049" s="534"/>
      <c r="C10049" s="535"/>
      <c r="D10049" s="535" t="s">
        <v>2043</v>
      </c>
      <c r="E10049" s="536"/>
      <c r="F10049" s="589" t="str">
        <f ca="1">"$/"&amp;G9982</f>
        <v>$/0</v>
      </c>
      <c r="G10049" s="537">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16" t="s">
        <v>31</v>
      </c>
      <c r="B10051" s="717"/>
      <c r="C10051" s="717"/>
      <c r="D10051" s="717"/>
      <c r="E10051" s="717"/>
      <c r="F10051" s="717"/>
      <c r="G10051" s="718"/>
    </row>
    <row r="10052" spans="1:7" ht="19.899999999999999" customHeight="1" x14ac:dyDescent="0.2">
      <c r="A10052" s="516" t="s">
        <v>711</v>
      </c>
      <c r="B10052" s="467" t="str">
        <f>Comitente</f>
        <v>DIRECCIÓN PROVINCIAL DE VIALIDAD</v>
      </c>
      <c r="C10052" s="468"/>
      <c r="D10052" s="469"/>
      <c r="E10052" s="469"/>
      <c r="F10052" s="470"/>
      <c r="G10052" s="517"/>
    </row>
    <row r="10053" spans="1:7" ht="19.899999999999999" customHeight="1" x14ac:dyDescent="0.2">
      <c r="A10053" s="516" t="s">
        <v>712</v>
      </c>
      <c r="B10053" s="467">
        <f>Contratista</f>
        <v>0</v>
      </c>
      <c r="C10053" s="471"/>
      <c r="D10053" s="471"/>
      <c r="E10053" s="471"/>
      <c r="F10053" s="467"/>
      <c r="G10053" s="518"/>
    </row>
    <row r="10054" spans="1:7" ht="19.899999999999999" customHeight="1" x14ac:dyDescent="0.2">
      <c r="A10054" s="516" t="s">
        <v>21</v>
      </c>
      <c r="B10054" s="467" t="str">
        <f>Obra</f>
        <v>OBRA BÁSICA Y PAVIMENTACIÓN CALLE GÜEMES</v>
      </c>
      <c r="C10054" s="471"/>
      <c r="D10054" s="471"/>
      <c r="E10054" s="471"/>
      <c r="F10054" s="467" t="s">
        <v>32</v>
      </c>
      <c r="G10054" s="518">
        <f>Fecha_Base</f>
        <v>0</v>
      </c>
    </row>
    <row r="10055" spans="1:7" ht="19.899999999999999" customHeight="1" x14ac:dyDescent="0.2">
      <c r="A10055" s="519" t="s">
        <v>710</v>
      </c>
      <c r="B10055" s="472" t="str">
        <f>Ubicación</f>
        <v>Rawson - Santa Lucia</v>
      </c>
      <c r="C10055" s="472"/>
      <c r="D10055" s="473"/>
      <c r="E10055" s="474"/>
      <c r="F10055" s="475"/>
      <c r="G10055" s="520"/>
    </row>
    <row r="10056" spans="1:7" ht="19.899999999999999" customHeight="1" x14ac:dyDescent="0.2">
      <c r="A10056" s="519" t="s">
        <v>33</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22</v>
      </c>
      <c r="B10057" s="477" t="str">
        <f>IFERROR(VLOOKUP(COUNTIF($A$1:A10057,"ANALISIS DE PRECIOS"),T_NumeroItem,2,FALSE),"")</f>
        <v/>
      </c>
      <c r="C10057" s="719">
        <f ca="1">IFERROR(VLOOKUP(B10057,T_Computo_Presupuesto,2,FALSE),0)</f>
        <v>0</v>
      </c>
      <c r="D10057" s="719"/>
      <c r="E10057" s="719"/>
      <c r="F10057" s="472" t="s">
        <v>23</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999</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1000</v>
      </c>
      <c r="D10061" s="482" t="s">
        <v>24</v>
      </c>
      <c r="E10061" s="482" t="s">
        <v>1001</v>
      </c>
      <c r="F10061" s="482" t="s">
        <v>1002</v>
      </c>
      <c r="G10061" s="481" t="s">
        <v>1003</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1004</v>
      </c>
      <c r="D10073" s="472" t="s">
        <v>1001</v>
      </c>
      <c r="E10073" s="538">
        <f>SUMPRODUCT(D10062:D10071,E10062:E10071)</f>
        <v>0</v>
      </c>
      <c r="F10073" s="472" t="s">
        <v>1005</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1006</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06" t="s">
        <v>576</v>
      </c>
      <c r="B10077" s="707"/>
      <c r="C10077" s="708" t="s">
        <v>0</v>
      </c>
      <c r="D10077" s="720" t="s">
        <v>1866</v>
      </c>
      <c r="E10077" s="720" t="s">
        <v>1865</v>
      </c>
      <c r="F10077" s="712" t="s">
        <v>1007</v>
      </c>
      <c r="G10077" s="714" t="s">
        <v>26</v>
      </c>
    </row>
    <row r="10078" spans="1:7" ht="19.899999999999999" customHeight="1" x14ac:dyDescent="0.2">
      <c r="A10078" s="491" t="s">
        <v>577</v>
      </c>
      <c r="B10078" s="491" t="s">
        <v>578</v>
      </c>
      <c r="C10078" s="709"/>
      <c r="D10078" s="721"/>
      <c r="E10078" s="711"/>
      <c r="F10078" s="713"/>
      <c r="G10078" s="715"/>
    </row>
    <row r="10079" spans="1:7" ht="19.899999999999999" customHeight="1" x14ac:dyDescent="0.2">
      <c r="A10079" s="527"/>
      <c r="B10079" s="175"/>
      <c r="C10079" s="469" t="s">
        <v>1008</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27</v>
      </c>
      <c r="G10089" s="531">
        <f>SUBTOTAL(9,G10080:G10088)</f>
        <v>0</v>
      </c>
    </row>
    <row r="10090" spans="1:7" ht="19.899999999999999" customHeight="1" x14ac:dyDescent="0.2">
      <c r="A10090" s="527"/>
      <c r="B10090" s="175"/>
      <c r="C10090" s="469" t="s">
        <v>713</v>
      </c>
      <c r="D10090" s="473"/>
      <c r="E10090" s="474"/>
      <c r="F10090" s="475"/>
      <c r="G10090" s="528"/>
    </row>
    <row r="10091" spans="1:7" ht="19.899999999999999" customHeight="1" x14ac:dyDescent="0.2">
      <c r="A10091" s="706" t="s">
        <v>576</v>
      </c>
      <c r="B10091" s="707"/>
      <c r="C10091" s="708" t="s">
        <v>0</v>
      </c>
      <c r="D10091" s="710" t="s">
        <v>24</v>
      </c>
      <c r="E10091" s="710" t="s">
        <v>1832</v>
      </c>
      <c r="F10091" s="712" t="s">
        <v>1007</v>
      </c>
      <c r="G10091" s="714" t="s">
        <v>26</v>
      </c>
    </row>
    <row r="10092" spans="1:7" ht="19.899999999999999" customHeight="1" x14ac:dyDescent="0.2">
      <c r="A10092" s="491" t="s">
        <v>577</v>
      </c>
      <c r="B10092" s="491" t="s">
        <v>578</v>
      </c>
      <c r="C10092" s="709"/>
      <c r="D10092" s="711"/>
      <c r="E10092" s="711"/>
      <c r="F10092" s="713"/>
      <c r="G10092" s="715"/>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28</v>
      </c>
      <c r="G10100" s="532">
        <f>SUBTOTAL(9,G10093:G10099)</f>
        <v>0</v>
      </c>
    </row>
    <row r="10101" spans="1:7" ht="19.899999999999999" customHeight="1" x14ac:dyDescent="0.2">
      <c r="A10101" s="527"/>
      <c r="B10101" s="175"/>
      <c r="C10101" s="469" t="s">
        <v>1014</v>
      </c>
      <c r="D10101" s="473"/>
      <c r="E10101" s="474"/>
      <c r="F10101" s="475"/>
      <c r="G10101" s="528"/>
    </row>
    <row r="10102" spans="1:7" ht="19.899999999999999" customHeight="1" x14ac:dyDescent="0.2">
      <c r="A10102" s="706" t="s">
        <v>576</v>
      </c>
      <c r="B10102" s="707"/>
      <c r="C10102" s="708" t="s">
        <v>0</v>
      </c>
      <c r="D10102" s="708" t="s">
        <v>1867</v>
      </c>
      <c r="E10102" s="710" t="s">
        <v>24</v>
      </c>
      <c r="F10102" s="712" t="s">
        <v>25</v>
      </c>
      <c r="G10102" s="714" t="s">
        <v>26</v>
      </c>
    </row>
    <row r="10103" spans="1:7" ht="19.899999999999999" customHeight="1" x14ac:dyDescent="0.2">
      <c r="A10103" s="491" t="s">
        <v>577</v>
      </c>
      <c r="B10103" s="491" t="s">
        <v>578</v>
      </c>
      <c r="C10103" s="709"/>
      <c r="D10103" s="709"/>
      <c r="E10103" s="711"/>
      <c r="F10103" s="713"/>
      <c r="G10103" s="715"/>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29</v>
      </c>
      <c r="G10115" s="532">
        <f>SUBTOTAL(9,G10104:G10114)</f>
        <v>0</v>
      </c>
    </row>
    <row r="10116" spans="1:7" ht="19.899999999999999" customHeight="1" x14ac:dyDescent="0.2">
      <c r="A10116" s="527"/>
      <c r="B10116" s="175"/>
      <c r="C10116" s="469" t="s">
        <v>1015</v>
      </c>
      <c r="D10116" s="473"/>
      <c r="E10116" s="474"/>
      <c r="F10116" s="475"/>
      <c r="G10116" s="528"/>
    </row>
    <row r="10117" spans="1:7" ht="19.899999999999999" customHeight="1" x14ac:dyDescent="0.2">
      <c r="A10117" s="706" t="s">
        <v>576</v>
      </c>
      <c r="B10117" s="707"/>
      <c r="C10117" s="708" t="s">
        <v>0</v>
      </c>
      <c r="D10117" s="708" t="s">
        <v>1867</v>
      </c>
      <c r="E10117" s="710" t="s">
        <v>24</v>
      </c>
      <c r="F10117" s="712" t="s">
        <v>25</v>
      </c>
      <c r="G10117" s="714" t="s">
        <v>26</v>
      </c>
    </row>
    <row r="10118" spans="1:7" ht="19.899999999999999" customHeight="1" x14ac:dyDescent="0.2">
      <c r="A10118" s="491" t="s">
        <v>577</v>
      </c>
      <c r="B10118" s="491" t="s">
        <v>578</v>
      </c>
      <c r="C10118" s="709"/>
      <c r="D10118" s="709"/>
      <c r="E10118" s="711"/>
      <c r="F10118" s="713"/>
      <c r="G10118" s="715"/>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1016</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1833</v>
      </c>
      <c r="E10123" s="586"/>
      <c r="F10123" s="587" t="str">
        <f ca="1">"$/"&amp;G10057</f>
        <v>$/0</v>
      </c>
      <c r="G10123" s="537">
        <f>SUBTOTAL(9,G10080:G10122)</f>
        <v>0</v>
      </c>
    </row>
    <row r="10124" spans="1:7" ht="19.899999999999999" customHeight="1" x14ac:dyDescent="0.2">
      <c r="A10124" s="533"/>
      <c r="B10124" s="534"/>
      <c r="C10124" s="535"/>
      <c r="D10124" s="535" t="s">
        <v>2043</v>
      </c>
      <c r="E10124" s="536"/>
      <c r="F10124" s="589" t="str">
        <f ca="1">"$/"&amp;G10057</f>
        <v>$/0</v>
      </c>
      <c r="G10124" s="537">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16" t="s">
        <v>31</v>
      </c>
      <c r="B10126" s="717"/>
      <c r="C10126" s="717"/>
      <c r="D10126" s="717"/>
      <c r="E10126" s="717"/>
      <c r="F10126" s="717"/>
      <c r="G10126" s="718"/>
    </row>
    <row r="10127" spans="1:7" ht="19.899999999999999" customHeight="1" x14ac:dyDescent="0.2">
      <c r="A10127" s="516" t="s">
        <v>711</v>
      </c>
      <c r="B10127" s="467" t="str">
        <f>Comitente</f>
        <v>DIRECCIÓN PROVINCIAL DE VIALIDAD</v>
      </c>
      <c r="C10127" s="468"/>
      <c r="D10127" s="469"/>
      <c r="E10127" s="469"/>
      <c r="F10127" s="470"/>
      <c r="G10127" s="517"/>
    </row>
    <row r="10128" spans="1:7" ht="19.899999999999999" customHeight="1" x14ac:dyDescent="0.2">
      <c r="A10128" s="516" t="s">
        <v>712</v>
      </c>
      <c r="B10128" s="467">
        <f>Contratista</f>
        <v>0</v>
      </c>
      <c r="C10128" s="471"/>
      <c r="D10128" s="471"/>
      <c r="E10128" s="471"/>
      <c r="F10128" s="467"/>
      <c r="G10128" s="518"/>
    </row>
    <row r="10129" spans="1:7" ht="19.899999999999999" customHeight="1" x14ac:dyDescent="0.2">
      <c r="A10129" s="516" t="s">
        <v>21</v>
      </c>
      <c r="B10129" s="467" t="str">
        <f>Obra</f>
        <v>OBRA BÁSICA Y PAVIMENTACIÓN CALLE GÜEMES</v>
      </c>
      <c r="C10129" s="471"/>
      <c r="D10129" s="471"/>
      <c r="E10129" s="471"/>
      <c r="F10129" s="467" t="s">
        <v>32</v>
      </c>
      <c r="G10129" s="518">
        <f>Fecha_Base</f>
        <v>0</v>
      </c>
    </row>
    <row r="10130" spans="1:7" ht="19.899999999999999" customHeight="1" x14ac:dyDescent="0.2">
      <c r="A10130" s="519" t="s">
        <v>710</v>
      </c>
      <c r="B10130" s="472" t="str">
        <f>Ubicación</f>
        <v>Rawson - Santa Lucia</v>
      </c>
      <c r="C10130" s="472"/>
      <c r="D10130" s="473"/>
      <c r="E10130" s="474"/>
      <c r="F10130" s="475"/>
      <c r="G10130" s="520"/>
    </row>
    <row r="10131" spans="1:7" ht="19.899999999999999" customHeight="1" x14ac:dyDescent="0.2">
      <c r="A10131" s="519" t="s">
        <v>33</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22</v>
      </c>
      <c r="B10132" s="477" t="str">
        <f>IFERROR(VLOOKUP(COUNTIF($A$1:A10132,"ANALISIS DE PRECIOS"),T_NumeroItem,2,FALSE),"")</f>
        <v/>
      </c>
      <c r="C10132" s="719">
        <f ca="1">IFERROR(VLOOKUP(B10132,T_Computo_Presupuesto,2,FALSE),0)</f>
        <v>0</v>
      </c>
      <c r="D10132" s="719"/>
      <c r="E10132" s="719"/>
      <c r="F10132" s="472" t="s">
        <v>23</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999</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1000</v>
      </c>
      <c r="D10136" s="482" t="s">
        <v>24</v>
      </c>
      <c r="E10136" s="482" t="s">
        <v>1001</v>
      </c>
      <c r="F10136" s="482" t="s">
        <v>1002</v>
      </c>
      <c r="G10136" s="481" t="s">
        <v>1003</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1004</v>
      </c>
      <c r="D10148" s="472" t="s">
        <v>1001</v>
      </c>
      <c r="E10148" s="538">
        <f>SUMPRODUCT(D10137:D10146,E10137:E10146)</f>
        <v>0</v>
      </c>
      <c r="F10148" s="472" t="s">
        <v>1005</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1006</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06" t="s">
        <v>576</v>
      </c>
      <c r="B10152" s="707"/>
      <c r="C10152" s="708" t="s">
        <v>0</v>
      </c>
      <c r="D10152" s="720" t="s">
        <v>1866</v>
      </c>
      <c r="E10152" s="720" t="s">
        <v>1865</v>
      </c>
      <c r="F10152" s="712" t="s">
        <v>1007</v>
      </c>
      <c r="G10152" s="714" t="s">
        <v>26</v>
      </c>
    </row>
    <row r="10153" spans="1:7" ht="19.899999999999999" customHeight="1" x14ac:dyDescent="0.2">
      <c r="A10153" s="491" t="s">
        <v>577</v>
      </c>
      <c r="B10153" s="491" t="s">
        <v>578</v>
      </c>
      <c r="C10153" s="709"/>
      <c r="D10153" s="721"/>
      <c r="E10153" s="711"/>
      <c r="F10153" s="713"/>
      <c r="G10153" s="715"/>
    </row>
    <row r="10154" spans="1:7" ht="19.899999999999999" customHeight="1" x14ac:dyDescent="0.2">
      <c r="A10154" s="527"/>
      <c r="B10154" s="175"/>
      <c r="C10154" s="469" t="s">
        <v>1008</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27</v>
      </c>
      <c r="G10164" s="531">
        <f>SUBTOTAL(9,G10155:G10163)</f>
        <v>0</v>
      </c>
    </row>
    <row r="10165" spans="1:7" ht="19.899999999999999" customHeight="1" x14ac:dyDescent="0.2">
      <c r="A10165" s="527"/>
      <c r="B10165" s="175"/>
      <c r="C10165" s="469" t="s">
        <v>713</v>
      </c>
      <c r="D10165" s="473"/>
      <c r="E10165" s="474"/>
      <c r="F10165" s="475"/>
      <c r="G10165" s="528"/>
    </row>
    <row r="10166" spans="1:7" ht="19.899999999999999" customHeight="1" x14ac:dyDescent="0.2">
      <c r="A10166" s="706" t="s">
        <v>576</v>
      </c>
      <c r="B10166" s="707"/>
      <c r="C10166" s="708" t="s">
        <v>0</v>
      </c>
      <c r="D10166" s="710" t="s">
        <v>24</v>
      </c>
      <c r="E10166" s="710" t="s">
        <v>1832</v>
      </c>
      <c r="F10166" s="712" t="s">
        <v>1007</v>
      </c>
      <c r="G10166" s="714" t="s">
        <v>26</v>
      </c>
    </row>
    <row r="10167" spans="1:7" ht="19.899999999999999" customHeight="1" x14ac:dyDescent="0.2">
      <c r="A10167" s="491" t="s">
        <v>577</v>
      </c>
      <c r="B10167" s="491" t="s">
        <v>578</v>
      </c>
      <c r="C10167" s="709"/>
      <c r="D10167" s="711"/>
      <c r="E10167" s="711"/>
      <c r="F10167" s="713"/>
      <c r="G10167" s="715"/>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28</v>
      </c>
      <c r="G10175" s="532">
        <f>SUBTOTAL(9,G10168:G10174)</f>
        <v>0</v>
      </c>
    </row>
    <row r="10176" spans="1:7" ht="19.899999999999999" customHeight="1" x14ac:dyDescent="0.2">
      <c r="A10176" s="527"/>
      <c r="B10176" s="175"/>
      <c r="C10176" s="469" t="s">
        <v>1014</v>
      </c>
      <c r="D10176" s="473"/>
      <c r="E10176" s="474"/>
      <c r="F10176" s="475"/>
      <c r="G10176" s="528"/>
    </row>
    <row r="10177" spans="1:7" ht="19.899999999999999" customHeight="1" x14ac:dyDescent="0.2">
      <c r="A10177" s="706" t="s">
        <v>576</v>
      </c>
      <c r="B10177" s="707"/>
      <c r="C10177" s="708" t="s">
        <v>0</v>
      </c>
      <c r="D10177" s="708" t="s">
        <v>1867</v>
      </c>
      <c r="E10177" s="710" t="s">
        <v>24</v>
      </c>
      <c r="F10177" s="712" t="s">
        <v>25</v>
      </c>
      <c r="G10177" s="714" t="s">
        <v>26</v>
      </c>
    </row>
    <row r="10178" spans="1:7" ht="19.899999999999999" customHeight="1" x14ac:dyDescent="0.2">
      <c r="A10178" s="491" t="s">
        <v>577</v>
      </c>
      <c r="B10178" s="491" t="s">
        <v>578</v>
      </c>
      <c r="C10178" s="709"/>
      <c r="D10178" s="709"/>
      <c r="E10178" s="711"/>
      <c r="F10178" s="713"/>
      <c r="G10178" s="715"/>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29</v>
      </c>
      <c r="G10190" s="532">
        <f>SUBTOTAL(9,G10179:G10189)</f>
        <v>0</v>
      </c>
    </row>
    <row r="10191" spans="1:7" ht="19.899999999999999" customHeight="1" x14ac:dyDescent="0.2">
      <c r="A10191" s="527"/>
      <c r="B10191" s="175"/>
      <c r="C10191" s="469" t="s">
        <v>1015</v>
      </c>
      <c r="D10191" s="473"/>
      <c r="E10191" s="474"/>
      <c r="F10191" s="475"/>
      <c r="G10191" s="528"/>
    </row>
    <row r="10192" spans="1:7" ht="19.899999999999999" customHeight="1" x14ac:dyDescent="0.2">
      <c r="A10192" s="706" t="s">
        <v>576</v>
      </c>
      <c r="B10192" s="707"/>
      <c r="C10192" s="708" t="s">
        <v>0</v>
      </c>
      <c r="D10192" s="708" t="s">
        <v>1867</v>
      </c>
      <c r="E10192" s="710" t="s">
        <v>24</v>
      </c>
      <c r="F10192" s="712" t="s">
        <v>25</v>
      </c>
      <c r="G10192" s="714" t="s">
        <v>26</v>
      </c>
    </row>
    <row r="10193" spans="1:7" ht="19.899999999999999" customHeight="1" x14ac:dyDescent="0.2">
      <c r="A10193" s="491" t="s">
        <v>577</v>
      </c>
      <c r="B10193" s="491" t="s">
        <v>578</v>
      </c>
      <c r="C10193" s="709"/>
      <c r="D10193" s="709"/>
      <c r="E10193" s="711"/>
      <c r="F10193" s="713"/>
      <c r="G10193" s="715"/>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1016</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1833</v>
      </c>
      <c r="E10198" s="586"/>
      <c r="F10198" s="587" t="str">
        <f ca="1">"$/"&amp;G10132</f>
        <v>$/0</v>
      </c>
      <c r="G10198" s="537">
        <f>SUBTOTAL(9,G10155:G10197)</f>
        <v>0</v>
      </c>
    </row>
    <row r="10199" spans="1:7" ht="19.899999999999999" customHeight="1" x14ac:dyDescent="0.2">
      <c r="A10199" s="533"/>
      <c r="B10199" s="534"/>
      <c r="C10199" s="535"/>
      <c r="D10199" s="535" t="s">
        <v>2043</v>
      </c>
      <c r="E10199" s="536"/>
      <c r="F10199" s="589" t="str">
        <f ca="1">"$/"&amp;G10132</f>
        <v>$/0</v>
      </c>
      <c r="G10199" s="537">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16" t="s">
        <v>31</v>
      </c>
      <c r="B10201" s="717"/>
      <c r="C10201" s="717"/>
      <c r="D10201" s="717"/>
      <c r="E10201" s="717"/>
      <c r="F10201" s="717"/>
      <c r="G10201" s="718"/>
    </row>
    <row r="10202" spans="1:7" ht="19.899999999999999" customHeight="1" x14ac:dyDescent="0.2">
      <c r="A10202" s="516" t="s">
        <v>711</v>
      </c>
      <c r="B10202" s="467" t="str">
        <f>Comitente</f>
        <v>DIRECCIÓN PROVINCIAL DE VIALIDAD</v>
      </c>
      <c r="C10202" s="468"/>
      <c r="D10202" s="469"/>
      <c r="E10202" s="469"/>
      <c r="F10202" s="470"/>
      <c r="G10202" s="517"/>
    </row>
    <row r="10203" spans="1:7" ht="19.899999999999999" customHeight="1" x14ac:dyDescent="0.2">
      <c r="A10203" s="516" t="s">
        <v>712</v>
      </c>
      <c r="B10203" s="467">
        <f>Contratista</f>
        <v>0</v>
      </c>
      <c r="C10203" s="471"/>
      <c r="D10203" s="471"/>
      <c r="E10203" s="471"/>
      <c r="F10203" s="467"/>
      <c r="G10203" s="518"/>
    </row>
    <row r="10204" spans="1:7" ht="19.899999999999999" customHeight="1" x14ac:dyDescent="0.2">
      <c r="A10204" s="516" t="s">
        <v>21</v>
      </c>
      <c r="B10204" s="467" t="str">
        <f>Obra</f>
        <v>OBRA BÁSICA Y PAVIMENTACIÓN CALLE GÜEMES</v>
      </c>
      <c r="C10204" s="471"/>
      <c r="D10204" s="471"/>
      <c r="E10204" s="471"/>
      <c r="F10204" s="467" t="s">
        <v>32</v>
      </c>
      <c r="G10204" s="518">
        <f>Fecha_Base</f>
        <v>0</v>
      </c>
    </row>
    <row r="10205" spans="1:7" ht="19.899999999999999" customHeight="1" x14ac:dyDescent="0.2">
      <c r="A10205" s="519" t="s">
        <v>710</v>
      </c>
      <c r="B10205" s="472" t="str">
        <f>Ubicación</f>
        <v>Rawson - Santa Lucia</v>
      </c>
      <c r="C10205" s="472"/>
      <c r="D10205" s="473"/>
      <c r="E10205" s="474"/>
      <c r="F10205" s="475"/>
      <c r="G10205" s="520"/>
    </row>
    <row r="10206" spans="1:7" ht="19.899999999999999" customHeight="1" x14ac:dyDescent="0.2">
      <c r="A10206" s="519" t="s">
        <v>33</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22</v>
      </c>
      <c r="B10207" s="477" t="str">
        <f>IFERROR(VLOOKUP(COUNTIF($A$1:A10207,"ANALISIS DE PRECIOS"),T_NumeroItem,2,FALSE),"")</f>
        <v/>
      </c>
      <c r="C10207" s="719">
        <f ca="1">IFERROR(VLOOKUP(B10207,T_Computo_Presupuesto,2,FALSE),0)</f>
        <v>0</v>
      </c>
      <c r="D10207" s="719"/>
      <c r="E10207" s="719"/>
      <c r="F10207" s="472" t="s">
        <v>23</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999</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1000</v>
      </c>
      <c r="D10211" s="482" t="s">
        <v>24</v>
      </c>
      <c r="E10211" s="482" t="s">
        <v>1001</v>
      </c>
      <c r="F10211" s="482" t="s">
        <v>1002</v>
      </c>
      <c r="G10211" s="481" t="s">
        <v>1003</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1004</v>
      </c>
      <c r="D10223" s="472" t="s">
        <v>1001</v>
      </c>
      <c r="E10223" s="538">
        <f>SUMPRODUCT(D10212:D10221,E10212:E10221)</f>
        <v>0</v>
      </c>
      <c r="F10223" s="472" t="s">
        <v>1005</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1006</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06" t="s">
        <v>576</v>
      </c>
      <c r="B10227" s="707"/>
      <c r="C10227" s="708" t="s">
        <v>0</v>
      </c>
      <c r="D10227" s="720" t="s">
        <v>1866</v>
      </c>
      <c r="E10227" s="720" t="s">
        <v>1865</v>
      </c>
      <c r="F10227" s="712" t="s">
        <v>1007</v>
      </c>
      <c r="G10227" s="714" t="s">
        <v>26</v>
      </c>
    </row>
    <row r="10228" spans="1:7" ht="19.899999999999999" customHeight="1" x14ac:dyDescent="0.2">
      <c r="A10228" s="491" t="s">
        <v>577</v>
      </c>
      <c r="B10228" s="491" t="s">
        <v>578</v>
      </c>
      <c r="C10228" s="709"/>
      <c r="D10228" s="721"/>
      <c r="E10228" s="711"/>
      <c r="F10228" s="713"/>
      <c r="G10228" s="715"/>
    </row>
    <row r="10229" spans="1:7" ht="19.899999999999999" customHeight="1" x14ac:dyDescent="0.2">
      <c r="A10229" s="527"/>
      <c r="B10229" s="175"/>
      <c r="C10229" s="469" t="s">
        <v>1008</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27</v>
      </c>
      <c r="G10239" s="531">
        <f>SUBTOTAL(9,G10230:G10238)</f>
        <v>0</v>
      </c>
    </row>
    <row r="10240" spans="1:7" ht="19.899999999999999" customHeight="1" x14ac:dyDescent="0.2">
      <c r="A10240" s="527"/>
      <c r="B10240" s="175"/>
      <c r="C10240" s="469" t="s">
        <v>713</v>
      </c>
      <c r="D10240" s="473"/>
      <c r="E10240" s="474"/>
      <c r="F10240" s="475"/>
      <c r="G10240" s="528"/>
    </row>
    <row r="10241" spans="1:7" ht="19.899999999999999" customHeight="1" x14ac:dyDescent="0.2">
      <c r="A10241" s="706" t="s">
        <v>576</v>
      </c>
      <c r="B10241" s="707"/>
      <c r="C10241" s="708" t="s">
        <v>0</v>
      </c>
      <c r="D10241" s="710" t="s">
        <v>24</v>
      </c>
      <c r="E10241" s="710" t="s">
        <v>1832</v>
      </c>
      <c r="F10241" s="712" t="s">
        <v>1007</v>
      </c>
      <c r="G10241" s="714" t="s">
        <v>26</v>
      </c>
    </row>
    <row r="10242" spans="1:7" ht="19.899999999999999" customHeight="1" x14ac:dyDescent="0.2">
      <c r="A10242" s="491" t="s">
        <v>577</v>
      </c>
      <c r="B10242" s="491" t="s">
        <v>578</v>
      </c>
      <c r="C10242" s="709"/>
      <c r="D10242" s="711"/>
      <c r="E10242" s="711"/>
      <c r="F10242" s="713"/>
      <c r="G10242" s="715"/>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28</v>
      </c>
      <c r="G10250" s="532">
        <f>SUBTOTAL(9,G10243:G10249)</f>
        <v>0</v>
      </c>
    </row>
    <row r="10251" spans="1:7" ht="19.899999999999999" customHeight="1" x14ac:dyDescent="0.2">
      <c r="A10251" s="527"/>
      <c r="B10251" s="175"/>
      <c r="C10251" s="469" t="s">
        <v>1014</v>
      </c>
      <c r="D10251" s="473"/>
      <c r="E10251" s="474"/>
      <c r="F10251" s="475"/>
      <c r="G10251" s="528"/>
    </row>
    <row r="10252" spans="1:7" ht="19.899999999999999" customHeight="1" x14ac:dyDescent="0.2">
      <c r="A10252" s="706" t="s">
        <v>576</v>
      </c>
      <c r="B10252" s="707"/>
      <c r="C10252" s="708" t="s">
        <v>0</v>
      </c>
      <c r="D10252" s="708" t="s">
        <v>1867</v>
      </c>
      <c r="E10252" s="710" t="s">
        <v>24</v>
      </c>
      <c r="F10252" s="712" t="s">
        <v>25</v>
      </c>
      <c r="G10252" s="714" t="s">
        <v>26</v>
      </c>
    </row>
    <row r="10253" spans="1:7" ht="19.899999999999999" customHeight="1" x14ac:dyDescent="0.2">
      <c r="A10253" s="491" t="s">
        <v>577</v>
      </c>
      <c r="B10253" s="491" t="s">
        <v>578</v>
      </c>
      <c r="C10253" s="709"/>
      <c r="D10253" s="709"/>
      <c r="E10253" s="711"/>
      <c r="F10253" s="713"/>
      <c r="G10253" s="715"/>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29</v>
      </c>
      <c r="G10265" s="532">
        <f>SUBTOTAL(9,G10254:G10264)</f>
        <v>0</v>
      </c>
    </row>
    <row r="10266" spans="1:7" ht="19.899999999999999" customHeight="1" x14ac:dyDescent="0.2">
      <c r="A10266" s="527"/>
      <c r="B10266" s="175"/>
      <c r="C10266" s="469" t="s">
        <v>1015</v>
      </c>
      <c r="D10266" s="473"/>
      <c r="E10266" s="474"/>
      <c r="F10266" s="475"/>
      <c r="G10266" s="528"/>
    </row>
    <row r="10267" spans="1:7" ht="19.899999999999999" customHeight="1" x14ac:dyDescent="0.2">
      <c r="A10267" s="706" t="s">
        <v>576</v>
      </c>
      <c r="B10267" s="707"/>
      <c r="C10267" s="708" t="s">
        <v>0</v>
      </c>
      <c r="D10267" s="708" t="s">
        <v>1867</v>
      </c>
      <c r="E10267" s="710" t="s">
        <v>24</v>
      </c>
      <c r="F10267" s="712" t="s">
        <v>25</v>
      </c>
      <c r="G10267" s="714" t="s">
        <v>26</v>
      </c>
    </row>
    <row r="10268" spans="1:7" ht="19.899999999999999" customHeight="1" x14ac:dyDescent="0.2">
      <c r="A10268" s="491" t="s">
        <v>577</v>
      </c>
      <c r="B10268" s="491" t="s">
        <v>578</v>
      </c>
      <c r="C10268" s="709"/>
      <c r="D10268" s="709"/>
      <c r="E10268" s="711"/>
      <c r="F10268" s="713"/>
      <c r="G10268" s="715"/>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1016</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1833</v>
      </c>
      <c r="E10273" s="586"/>
      <c r="F10273" s="587" t="str">
        <f ca="1">"$/"&amp;G10207</f>
        <v>$/0</v>
      </c>
      <c r="G10273" s="537">
        <f>SUBTOTAL(9,G10230:G10272)</f>
        <v>0</v>
      </c>
    </row>
    <row r="10274" spans="1:7" ht="19.899999999999999" customHeight="1" x14ac:dyDescent="0.2">
      <c r="A10274" s="533"/>
      <c r="B10274" s="534"/>
      <c r="C10274" s="535"/>
      <c r="D10274" s="535" t="s">
        <v>2043</v>
      </c>
      <c r="E10274" s="536"/>
      <c r="F10274" s="589" t="str">
        <f ca="1">"$/"&amp;G10207</f>
        <v>$/0</v>
      </c>
      <c r="G10274" s="537">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16" t="s">
        <v>31</v>
      </c>
      <c r="B10276" s="717"/>
      <c r="C10276" s="717"/>
      <c r="D10276" s="717"/>
      <c r="E10276" s="717"/>
      <c r="F10276" s="717"/>
      <c r="G10276" s="718"/>
    </row>
    <row r="10277" spans="1:7" ht="19.899999999999999" customHeight="1" x14ac:dyDescent="0.2">
      <c r="A10277" s="516" t="s">
        <v>711</v>
      </c>
      <c r="B10277" s="467" t="str">
        <f>Comitente</f>
        <v>DIRECCIÓN PROVINCIAL DE VIALIDAD</v>
      </c>
      <c r="C10277" s="468"/>
      <c r="D10277" s="469"/>
      <c r="E10277" s="469"/>
      <c r="F10277" s="470"/>
      <c r="G10277" s="517"/>
    </row>
    <row r="10278" spans="1:7" ht="19.899999999999999" customHeight="1" x14ac:dyDescent="0.2">
      <c r="A10278" s="516" t="s">
        <v>712</v>
      </c>
      <c r="B10278" s="467">
        <f>Contratista</f>
        <v>0</v>
      </c>
      <c r="C10278" s="471"/>
      <c r="D10278" s="471"/>
      <c r="E10278" s="471"/>
      <c r="F10278" s="467"/>
      <c r="G10278" s="518"/>
    </row>
    <row r="10279" spans="1:7" ht="19.899999999999999" customHeight="1" x14ac:dyDescent="0.2">
      <c r="A10279" s="516" t="s">
        <v>21</v>
      </c>
      <c r="B10279" s="467" t="str">
        <f>Obra</f>
        <v>OBRA BÁSICA Y PAVIMENTACIÓN CALLE GÜEMES</v>
      </c>
      <c r="C10279" s="471"/>
      <c r="D10279" s="471"/>
      <c r="E10279" s="471"/>
      <c r="F10279" s="467" t="s">
        <v>32</v>
      </c>
      <c r="G10279" s="518">
        <f>Fecha_Base</f>
        <v>0</v>
      </c>
    </row>
    <row r="10280" spans="1:7" ht="19.899999999999999" customHeight="1" x14ac:dyDescent="0.2">
      <c r="A10280" s="519" t="s">
        <v>710</v>
      </c>
      <c r="B10280" s="472" t="str">
        <f>Ubicación</f>
        <v>Rawson - Santa Lucia</v>
      </c>
      <c r="C10280" s="472"/>
      <c r="D10280" s="473"/>
      <c r="E10280" s="474"/>
      <c r="F10280" s="475"/>
      <c r="G10280" s="520"/>
    </row>
    <row r="10281" spans="1:7" ht="19.899999999999999" customHeight="1" x14ac:dyDescent="0.2">
      <c r="A10281" s="519" t="s">
        <v>33</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22</v>
      </c>
      <c r="B10282" s="477" t="str">
        <f>IFERROR(VLOOKUP(COUNTIF($A$1:A10282,"ANALISIS DE PRECIOS"),T_NumeroItem,2,FALSE),"")</f>
        <v/>
      </c>
      <c r="C10282" s="719">
        <f ca="1">IFERROR(VLOOKUP(B10282,T_Computo_Presupuesto,2,FALSE),0)</f>
        <v>0</v>
      </c>
      <c r="D10282" s="719"/>
      <c r="E10282" s="719"/>
      <c r="F10282" s="472" t="s">
        <v>23</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999</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1000</v>
      </c>
      <c r="D10286" s="482" t="s">
        <v>24</v>
      </c>
      <c r="E10286" s="482" t="s">
        <v>1001</v>
      </c>
      <c r="F10286" s="482" t="s">
        <v>1002</v>
      </c>
      <c r="G10286" s="481" t="s">
        <v>1003</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1004</v>
      </c>
      <c r="D10298" s="472" t="s">
        <v>1001</v>
      </c>
      <c r="E10298" s="538">
        <f>SUMPRODUCT(D10287:D10296,E10287:E10296)</f>
        <v>0</v>
      </c>
      <c r="F10298" s="472" t="s">
        <v>1005</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1006</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06" t="s">
        <v>576</v>
      </c>
      <c r="B10302" s="707"/>
      <c r="C10302" s="708" t="s">
        <v>0</v>
      </c>
      <c r="D10302" s="720" t="s">
        <v>1866</v>
      </c>
      <c r="E10302" s="720" t="s">
        <v>1865</v>
      </c>
      <c r="F10302" s="712" t="s">
        <v>1007</v>
      </c>
      <c r="G10302" s="714" t="s">
        <v>26</v>
      </c>
    </row>
    <row r="10303" spans="1:7" ht="19.899999999999999" customHeight="1" x14ac:dyDescent="0.2">
      <c r="A10303" s="491" t="s">
        <v>577</v>
      </c>
      <c r="B10303" s="491" t="s">
        <v>578</v>
      </c>
      <c r="C10303" s="709"/>
      <c r="D10303" s="721"/>
      <c r="E10303" s="711"/>
      <c r="F10303" s="713"/>
      <c r="G10303" s="715"/>
    </row>
    <row r="10304" spans="1:7" ht="19.899999999999999" customHeight="1" x14ac:dyDescent="0.2">
      <c r="A10304" s="527"/>
      <c r="B10304" s="175"/>
      <c r="C10304" s="469" t="s">
        <v>1008</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27</v>
      </c>
      <c r="G10314" s="531">
        <f>SUBTOTAL(9,G10305:G10313)</f>
        <v>0</v>
      </c>
    </row>
    <row r="10315" spans="1:7" ht="19.899999999999999" customHeight="1" x14ac:dyDescent="0.2">
      <c r="A10315" s="527"/>
      <c r="B10315" s="175"/>
      <c r="C10315" s="469" t="s">
        <v>713</v>
      </c>
      <c r="D10315" s="473"/>
      <c r="E10315" s="474"/>
      <c r="F10315" s="475"/>
      <c r="G10315" s="528"/>
    </row>
    <row r="10316" spans="1:7" ht="19.899999999999999" customHeight="1" x14ac:dyDescent="0.2">
      <c r="A10316" s="706" t="s">
        <v>576</v>
      </c>
      <c r="B10316" s="707"/>
      <c r="C10316" s="708" t="s">
        <v>0</v>
      </c>
      <c r="D10316" s="710" t="s">
        <v>24</v>
      </c>
      <c r="E10316" s="710" t="s">
        <v>1832</v>
      </c>
      <c r="F10316" s="712" t="s">
        <v>1007</v>
      </c>
      <c r="G10316" s="714" t="s">
        <v>26</v>
      </c>
    </row>
    <row r="10317" spans="1:7" ht="19.899999999999999" customHeight="1" x14ac:dyDescent="0.2">
      <c r="A10317" s="491" t="s">
        <v>577</v>
      </c>
      <c r="B10317" s="491" t="s">
        <v>578</v>
      </c>
      <c r="C10317" s="709"/>
      <c r="D10317" s="711"/>
      <c r="E10317" s="711"/>
      <c r="F10317" s="713"/>
      <c r="G10317" s="715"/>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28</v>
      </c>
      <c r="G10325" s="532">
        <f>SUBTOTAL(9,G10318:G10324)</f>
        <v>0</v>
      </c>
    </row>
    <row r="10326" spans="1:7" ht="19.899999999999999" customHeight="1" x14ac:dyDescent="0.2">
      <c r="A10326" s="527"/>
      <c r="B10326" s="175"/>
      <c r="C10326" s="469" t="s">
        <v>1014</v>
      </c>
      <c r="D10326" s="473"/>
      <c r="E10326" s="474"/>
      <c r="F10326" s="475"/>
      <c r="G10326" s="528"/>
    </row>
    <row r="10327" spans="1:7" ht="19.899999999999999" customHeight="1" x14ac:dyDescent="0.2">
      <c r="A10327" s="706" t="s">
        <v>576</v>
      </c>
      <c r="B10327" s="707"/>
      <c r="C10327" s="708" t="s">
        <v>0</v>
      </c>
      <c r="D10327" s="708" t="s">
        <v>1867</v>
      </c>
      <c r="E10327" s="710" t="s">
        <v>24</v>
      </c>
      <c r="F10327" s="712" t="s">
        <v>25</v>
      </c>
      <c r="G10327" s="714" t="s">
        <v>26</v>
      </c>
    </row>
    <row r="10328" spans="1:7" ht="19.899999999999999" customHeight="1" x14ac:dyDescent="0.2">
      <c r="A10328" s="491" t="s">
        <v>577</v>
      </c>
      <c r="B10328" s="491" t="s">
        <v>578</v>
      </c>
      <c r="C10328" s="709"/>
      <c r="D10328" s="709"/>
      <c r="E10328" s="711"/>
      <c r="F10328" s="713"/>
      <c r="G10328" s="715"/>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29</v>
      </c>
      <c r="G10340" s="532">
        <f>SUBTOTAL(9,G10329:G10339)</f>
        <v>0</v>
      </c>
    </row>
    <row r="10341" spans="1:7" ht="19.899999999999999" customHeight="1" x14ac:dyDescent="0.2">
      <c r="A10341" s="527"/>
      <c r="B10341" s="175"/>
      <c r="C10341" s="469" t="s">
        <v>1015</v>
      </c>
      <c r="D10341" s="473"/>
      <c r="E10341" s="474"/>
      <c r="F10341" s="475"/>
      <c r="G10341" s="528"/>
    </row>
    <row r="10342" spans="1:7" ht="19.899999999999999" customHeight="1" x14ac:dyDescent="0.2">
      <c r="A10342" s="706" t="s">
        <v>576</v>
      </c>
      <c r="B10342" s="707"/>
      <c r="C10342" s="708" t="s">
        <v>0</v>
      </c>
      <c r="D10342" s="708" t="s">
        <v>1867</v>
      </c>
      <c r="E10342" s="710" t="s">
        <v>24</v>
      </c>
      <c r="F10342" s="712" t="s">
        <v>25</v>
      </c>
      <c r="G10342" s="714" t="s">
        <v>26</v>
      </c>
    </row>
    <row r="10343" spans="1:7" ht="19.899999999999999" customHeight="1" x14ac:dyDescent="0.2">
      <c r="A10343" s="491" t="s">
        <v>577</v>
      </c>
      <c r="B10343" s="491" t="s">
        <v>578</v>
      </c>
      <c r="C10343" s="709"/>
      <c r="D10343" s="709"/>
      <c r="E10343" s="711"/>
      <c r="F10343" s="713"/>
      <c r="G10343" s="715"/>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1016</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1833</v>
      </c>
      <c r="E10348" s="586"/>
      <c r="F10348" s="587" t="str">
        <f ca="1">"$/"&amp;G10282</f>
        <v>$/0</v>
      </c>
      <c r="G10348" s="537">
        <f>SUBTOTAL(9,G10305:G10347)</f>
        <v>0</v>
      </c>
    </row>
    <row r="10349" spans="1:7" ht="19.899999999999999" customHeight="1" x14ac:dyDescent="0.2">
      <c r="A10349" s="533"/>
      <c r="B10349" s="534"/>
      <c r="C10349" s="535"/>
      <c r="D10349" s="535" t="s">
        <v>2043</v>
      </c>
      <c r="E10349" s="536"/>
      <c r="F10349" s="589" t="str">
        <f ca="1">"$/"&amp;G10282</f>
        <v>$/0</v>
      </c>
      <c r="G10349" s="537">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16" t="s">
        <v>31</v>
      </c>
      <c r="B10351" s="717"/>
      <c r="C10351" s="717"/>
      <c r="D10351" s="717"/>
      <c r="E10351" s="717"/>
      <c r="F10351" s="717"/>
      <c r="G10351" s="718"/>
    </row>
    <row r="10352" spans="1:7" ht="19.899999999999999" customHeight="1" x14ac:dyDescent="0.2">
      <c r="A10352" s="516" t="s">
        <v>711</v>
      </c>
      <c r="B10352" s="467" t="str">
        <f>Comitente</f>
        <v>DIRECCIÓN PROVINCIAL DE VIALIDAD</v>
      </c>
      <c r="C10352" s="468"/>
      <c r="D10352" s="469"/>
      <c r="E10352" s="469"/>
      <c r="F10352" s="470"/>
      <c r="G10352" s="517"/>
    </row>
    <row r="10353" spans="1:7" ht="19.899999999999999" customHeight="1" x14ac:dyDescent="0.2">
      <c r="A10353" s="516" t="s">
        <v>712</v>
      </c>
      <c r="B10353" s="467">
        <f>Contratista</f>
        <v>0</v>
      </c>
      <c r="C10353" s="471"/>
      <c r="D10353" s="471"/>
      <c r="E10353" s="471"/>
      <c r="F10353" s="467"/>
      <c r="G10353" s="518"/>
    </row>
    <row r="10354" spans="1:7" ht="19.899999999999999" customHeight="1" x14ac:dyDescent="0.2">
      <c r="A10354" s="516" t="s">
        <v>21</v>
      </c>
      <c r="B10354" s="467" t="str">
        <f>Obra</f>
        <v>OBRA BÁSICA Y PAVIMENTACIÓN CALLE GÜEMES</v>
      </c>
      <c r="C10354" s="471"/>
      <c r="D10354" s="471"/>
      <c r="E10354" s="471"/>
      <c r="F10354" s="467" t="s">
        <v>32</v>
      </c>
      <c r="G10354" s="518">
        <f>Fecha_Base</f>
        <v>0</v>
      </c>
    </row>
    <row r="10355" spans="1:7" ht="19.899999999999999" customHeight="1" x14ac:dyDescent="0.2">
      <c r="A10355" s="519" t="s">
        <v>710</v>
      </c>
      <c r="B10355" s="472" t="str">
        <f>Ubicación</f>
        <v>Rawson - Santa Lucia</v>
      </c>
      <c r="C10355" s="472"/>
      <c r="D10355" s="473"/>
      <c r="E10355" s="474"/>
      <c r="F10355" s="475"/>
      <c r="G10355" s="520"/>
    </row>
    <row r="10356" spans="1:7" ht="19.899999999999999" customHeight="1" x14ac:dyDescent="0.2">
      <c r="A10356" s="519" t="s">
        <v>33</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22</v>
      </c>
      <c r="B10357" s="477" t="str">
        <f>IFERROR(VLOOKUP(COUNTIF($A$1:A10357,"ANALISIS DE PRECIOS"),T_NumeroItem,2,FALSE),"")</f>
        <v/>
      </c>
      <c r="C10357" s="719">
        <f ca="1">IFERROR(VLOOKUP(B10357,T_Computo_Presupuesto,2,FALSE),0)</f>
        <v>0</v>
      </c>
      <c r="D10357" s="719"/>
      <c r="E10357" s="719"/>
      <c r="F10357" s="472" t="s">
        <v>23</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999</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1000</v>
      </c>
      <c r="D10361" s="482" t="s">
        <v>24</v>
      </c>
      <c r="E10361" s="482" t="s">
        <v>1001</v>
      </c>
      <c r="F10361" s="482" t="s">
        <v>1002</v>
      </c>
      <c r="G10361" s="481" t="s">
        <v>1003</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1004</v>
      </c>
      <c r="D10373" s="472" t="s">
        <v>1001</v>
      </c>
      <c r="E10373" s="538">
        <f>SUMPRODUCT(D10362:D10371,E10362:E10371)</f>
        <v>0</v>
      </c>
      <c r="F10373" s="472" t="s">
        <v>1005</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1006</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06" t="s">
        <v>576</v>
      </c>
      <c r="B10377" s="707"/>
      <c r="C10377" s="708" t="s">
        <v>0</v>
      </c>
      <c r="D10377" s="720" t="s">
        <v>1866</v>
      </c>
      <c r="E10377" s="720" t="s">
        <v>1865</v>
      </c>
      <c r="F10377" s="712" t="s">
        <v>1007</v>
      </c>
      <c r="G10377" s="714" t="s">
        <v>26</v>
      </c>
    </row>
    <row r="10378" spans="1:7" ht="19.899999999999999" customHeight="1" x14ac:dyDescent="0.2">
      <c r="A10378" s="491" t="s">
        <v>577</v>
      </c>
      <c r="B10378" s="491" t="s">
        <v>578</v>
      </c>
      <c r="C10378" s="709"/>
      <c r="D10378" s="721"/>
      <c r="E10378" s="711"/>
      <c r="F10378" s="713"/>
      <c r="G10378" s="715"/>
    </row>
    <row r="10379" spans="1:7" ht="19.899999999999999" customHeight="1" x14ac:dyDescent="0.2">
      <c r="A10379" s="527"/>
      <c r="B10379" s="175"/>
      <c r="C10379" s="469" t="s">
        <v>1008</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27</v>
      </c>
      <c r="G10389" s="531">
        <f>SUBTOTAL(9,G10380:G10388)</f>
        <v>0</v>
      </c>
    </row>
    <row r="10390" spans="1:7" ht="19.899999999999999" customHeight="1" x14ac:dyDescent="0.2">
      <c r="A10390" s="527"/>
      <c r="B10390" s="175"/>
      <c r="C10390" s="469" t="s">
        <v>713</v>
      </c>
      <c r="D10390" s="473"/>
      <c r="E10390" s="474"/>
      <c r="F10390" s="475"/>
      <c r="G10390" s="528"/>
    </row>
    <row r="10391" spans="1:7" ht="19.899999999999999" customHeight="1" x14ac:dyDescent="0.2">
      <c r="A10391" s="706" t="s">
        <v>576</v>
      </c>
      <c r="B10391" s="707"/>
      <c r="C10391" s="708" t="s">
        <v>0</v>
      </c>
      <c r="D10391" s="710" t="s">
        <v>24</v>
      </c>
      <c r="E10391" s="710" t="s">
        <v>1832</v>
      </c>
      <c r="F10391" s="712" t="s">
        <v>1007</v>
      </c>
      <c r="G10391" s="714" t="s">
        <v>26</v>
      </c>
    </row>
    <row r="10392" spans="1:7" ht="19.899999999999999" customHeight="1" x14ac:dyDescent="0.2">
      <c r="A10392" s="491" t="s">
        <v>577</v>
      </c>
      <c r="B10392" s="491" t="s">
        <v>578</v>
      </c>
      <c r="C10392" s="709"/>
      <c r="D10392" s="711"/>
      <c r="E10392" s="711"/>
      <c r="F10392" s="713"/>
      <c r="G10392" s="715"/>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28</v>
      </c>
      <c r="G10400" s="532">
        <f>SUBTOTAL(9,G10393:G10399)</f>
        <v>0</v>
      </c>
    </row>
    <row r="10401" spans="1:7" ht="19.899999999999999" customHeight="1" x14ac:dyDescent="0.2">
      <c r="A10401" s="527"/>
      <c r="B10401" s="175"/>
      <c r="C10401" s="469" t="s">
        <v>1014</v>
      </c>
      <c r="D10401" s="473"/>
      <c r="E10401" s="474"/>
      <c r="F10401" s="475"/>
      <c r="G10401" s="528"/>
    </row>
    <row r="10402" spans="1:7" ht="19.899999999999999" customHeight="1" x14ac:dyDescent="0.2">
      <c r="A10402" s="706" t="s">
        <v>576</v>
      </c>
      <c r="B10402" s="707"/>
      <c r="C10402" s="708" t="s">
        <v>0</v>
      </c>
      <c r="D10402" s="708" t="s">
        <v>1867</v>
      </c>
      <c r="E10402" s="710" t="s">
        <v>24</v>
      </c>
      <c r="F10402" s="712" t="s">
        <v>25</v>
      </c>
      <c r="G10402" s="714" t="s">
        <v>26</v>
      </c>
    </row>
    <row r="10403" spans="1:7" ht="19.899999999999999" customHeight="1" x14ac:dyDescent="0.2">
      <c r="A10403" s="491" t="s">
        <v>577</v>
      </c>
      <c r="B10403" s="491" t="s">
        <v>578</v>
      </c>
      <c r="C10403" s="709"/>
      <c r="D10403" s="709"/>
      <c r="E10403" s="711"/>
      <c r="F10403" s="713"/>
      <c r="G10403" s="715"/>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29</v>
      </c>
      <c r="G10415" s="532">
        <f>SUBTOTAL(9,G10404:G10414)</f>
        <v>0</v>
      </c>
    </row>
    <row r="10416" spans="1:7" ht="19.899999999999999" customHeight="1" x14ac:dyDescent="0.2">
      <c r="A10416" s="527"/>
      <c r="B10416" s="175"/>
      <c r="C10416" s="469" t="s">
        <v>1015</v>
      </c>
      <c r="D10416" s="473"/>
      <c r="E10416" s="474"/>
      <c r="F10416" s="475"/>
      <c r="G10416" s="528"/>
    </row>
    <row r="10417" spans="1:7" ht="19.899999999999999" customHeight="1" x14ac:dyDescent="0.2">
      <c r="A10417" s="706" t="s">
        <v>576</v>
      </c>
      <c r="B10417" s="707"/>
      <c r="C10417" s="708" t="s">
        <v>0</v>
      </c>
      <c r="D10417" s="708" t="s">
        <v>1867</v>
      </c>
      <c r="E10417" s="710" t="s">
        <v>24</v>
      </c>
      <c r="F10417" s="712" t="s">
        <v>25</v>
      </c>
      <c r="G10417" s="714" t="s">
        <v>26</v>
      </c>
    </row>
    <row r="10418" spans="1:7" ht="19.899999999999999" customHeight="1" x14ac:dyDescent="0.2">
      <c r="A10418" s="491" t="s">
        <v>577</v>
      </c>
      <c r="B10418" s="491" t="s">
        <v>578</v>
      </c>
      <c r="C10418" s="709"/>
      <c r="D10418" s="709"/>
      <c r="E10418" s="711"/>
      <c r="F10418" s="713"/>
      <c r="G10418" s="715"/>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1016</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1833</v>
      </c>
      <c r="E10423" s="586"/>
      <c r="F10423" s="587" t="str">
        <f ca="1">"$/"&amp;G10357</f>
        <v>$/0</v>
      </c>
      <c r="G10423" s="537">
        <f>SUBTOTAL(9,G10380:G10422)</f>
        <v>0</v>
      </c>
    </row>
    <row r="10424" spans="1:7" ht="19.899999999999999" customHeight="1" x14ac:dyDescent="0.2">
      <c r="A10424" s="533"/>
      <c r="B10424" s="534"/>
      <c r="C10424" s="535"/>
      <c r="D10424" s="535" t="s">
        <v>2043</v>
      </c>
      <c r="E10424" s="536"/>
      <c r="F10424" s="589" t="str">
        <f ca="1">"$/"&amp;G10357</f>
        <v>$/0</v>
      </c>
      <c r="G10424" s="537">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16" t="s">
        <v>31</v>
      </c>
      <c r="B10426" s="717"/>
      <c r="C10426" s="717"/>
      <c r="D10426" s="717"/>
      <c r="E10426" s="717"/>
      <c r="F10426" s="717"/>
      <c r="G10426" s="718"/>
    </row>
    <row r="10427" spans="1:7" ht="19.899999999999999" customHeight="1" x14ac:dyDescent="0.2">
      <c r="A10427" s="516" t="s">
        <v>711</v>
      </c>
      <c r="B10427" s="467" t="str">
        <f>Comitente</f>
        <v>DIRECCIÓN PROVINCIAL DE VIALIDAD</v>
      </c>
      <c r="C10427" s="468"/>
      <c r="D10427" s="469"/>
      <c r="E10427" s="469"/>
      <c r="F10427" s="470"/>
      <c r="G10427" s="517"/>
    </row>
    <row r="10428" spans="1:7" ht="19.899999999999999" customHeight="1" x14ac:dyDescent="0.2">
      <c r="A10428" s="516" t="s">
        <v>712</v>
      </c>
      <c r="B10428" s="467">
        <f>Contratista</f>
        <v>0</v>
      </c>
      <c r="C10428" s="471"/>
      <c r="D10428" s="471"/>
      <c r="E10428" s="471"/>
      <c r="F10428" s="467"/>
      <c r="G10428" s="518"/>
    </row>
    <row r="10429" spans="1:7" ht="19.899999999999999" customHeight="1" x14ac:dyDescent="0.2">
      <c r="A10429" s="516" t="s">
        <v>21</v>
      </c>
      <c r="B10429" s="467" t="str">
        <f>Obra</f>
        <v>OBRA BÁSICA Y PAVIMENTACIÓN CALLE GÜEMES</v>
      </c>
      <c r="C10429" s="471"/>
      <c r="D10429" s="471"/>
      <c r="E10429" s="471"/>
      <c r="F10429" s="467" t="s">
        <v>32</v>
      </c>
      <c r="G10429" s="518">
        <f>Fecha_Base</f>
        <v>0</v>
      </c>
    </row>
    <row r="10430" spans="1:7" ht="19.899999999999999" customHeight="1" x14ac:dyDescent="0.2">
      <c r="A10430" s="519" t="s">
        <v>710</v>
      </c>
      <c r="B10430" s="472" t="str">
        <f>Ubicación</f>
        <v>Rawson - Santa Lucia</v>
      </c>
      <c r="C10430" s="472"/>
      <c r="D10430" s="473"/>
      <c r="E10430" s="474"/>
      <c r="F10430" s="475"/>
      <c r="G10430" s="520"/>
    </row>
    <row r="10431" spans="1:7" ht="19.899999999999999" customHeight="1" x14ac:dyDescent="0.2">
      <c r="A10431" s="519" t="s">
        <v>33</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22</v>
      </c>
      <c r="B10432" s="477" t="str">
        <f>IFERROR(VLOOKUP(COUNTIF($A$1:A10432,"ANALISIS DE PRECIOS"),T_NumeroItem,2,FALSE),"")</f>
        <v/>
      </c>
      <c r="C10432" s="719">
        <f ca="1">IFERROR(VLOOKUP(B10432,T_Computo_Presupuesto,2,FALSE),0)</f>
        <v>0</v>
      </c>
      <c r="D10432" s="719"/>
      <c r="E10432" s="719"/>
      <c r="F10432" s="472" t="s">
        <v>23</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999</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1000</v>
      </c>
      <c r="D10436" s="482" t="s">
        <v>24</v>
      </c>
      <c r="E10436" s="482" t="s">
        <v>1001</v>
      </c>
      <c r="F10436" s="482" t="s">
        <v>1002</v>
      </c>
      <c r="G10436" s="481" t="s">
        <v>1003</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1004</v>
      </c>
      <c r="D10448" s="472" t="s">
        <v>1001</v>
      </c>
      <c r="E10448" s="538">
        <f>SUMPRODUCT(D10437:D10446,E10437:E10446)</f>
        <v>0</v>
      </c>
      <c r="F10448" s="472" t="s">
        <v>1005</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1006</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06" t="s">
        <v>576</v>
      </c>
      <c r="B10452" s="707"/>
      <c r="C10452" s="708" t="s">
        <v>0</v>
      </c>
      <c r="D10452" s="720" t="s">
        <v>1866</v>
      </c>
      <c r="E10452" s="720" t="s">
        <v>1865</v>
      </c>
      <c r="F10452" s="712" t="s">
        <v>1007</v>
      </c>
      <c r="G10452" s="714" t="s">
        <v>26</v>
      </c>
    </row>
    <row r="10453" spans="1:7" ht="19.899999999999999" customHeight="1" x14ac:dyDescent="0.2">
      <c r="A10453" s="491" t="s">
        <v>577</v>
      </c>
      <c r="B10453" s="491" t="s">
        <v>578</v>
      </c>
      <c r="C10453" s="709"/>
      <c r="D10453" s="721"/>
      <c r="E10453" s="711"/>
      <c r="F10453" s="713"/>
      <c r="G10453" s="715"/>
    </row>
    <row r="10454" spans="1:7" ht="19.899999999999999" customHeight="1" x14ac:dyDescent="0.2">
      <c r="A10454" s="527"/>
      <c r="B10454" s="175"/>
      <c r="C10454" s="469" t="s">
        <v>1008</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27</v>
      </c>
      <c r="G10464" s="531">
        <f>SUBTOTAL(9,G10455:G10463)</f>
        <v>0</v>
      </c>
    </row>
    <row r="10465" spans="1:7" ht="19.899999999999999" customHeight="1" x14ac:dyDescent="0.2">
      <c r="A10465" s="527"/>
      <c r="B10465" s="175"/>
      <c r="C10465" s="469" t="s">
        <v>713</v>
      </c>
      <c r="D10465" s="473"/>
      <c r="E10465" s="474"/>
      <c r="F10465" s="475"/>
      <c r="G10465" s="528"/>
    </row>
    <row r="10466" spans="1:7" ht="19.899999999999999" customHeight="1" x14ac:dyDescent="0.2">
      <c r="A10466" s="706" t="s">
        <v>576</v>
      </c>
      <c r="B10466" s="707"/>
      <c r="C10466" s="708" t="s">
        <v>0</v>
      </c>
      <c r="D10466" s="710" t="s">
        <v>24</v>
      </c>
      <c r="E10466" s="710" t="s">
        <v>1832</v>
      </c>
      <c r="F10466" s="712" t="s">
        <v>1007</v>
      </c>
      <c r="G10466" s="714" t="s">
        <v>26</v>
      </c>
    </row>
    <row r="10467" spans="1:7" ht="19.899999999999999" customHeight="1" x14ac:dyDescent="0.2">
      <c r="A10467" s="491" t="s">
        <v>577</v>
      </c>
      <c r="B10467" s="491" t="s">
        <v>578</v>
      </c>
      <c r="C10467" s="709"/>
      <c r="D10467" s="711"/>
      <c r="E10467" s="711"/>
      <c r="F10467" s="713"/>
      <c r="G10467" s="715"/>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28</v>
      </c>
      <c r="G10475" s="532">
        <f>SUBTOTAL(9,G10468:G10474)</f>
        <v>0</v>
      </c>
    </row>
    <row r="10476" spans="1:7" ht="19.899999999999999" customHeight="1" x14ac:dyDescent="0.2">
      <c r="A10476" s="527"/>
      <c r="B10476" s="175"/>
      <c r="C10476" s="469" t="s">
        <v>1014</v>
      </c>
      <c r="D10476" s="473"/>
      <c r="E10476" s="474"/>
      <c r="F10476" s="475"/>
      <c r="G10476" s="528"/>
    </row>
    <row r="10477" spans="1:7" ht="19.899999999999999" customHeight="1" x14ac:dyDescent="0.2">
      <c r="A10477" s="706" t="s">
        <v>576</v>
      </c>
      <c r="B10477" s="707"/>
      <c r="C10477" s="708" t="s">
        <v>0</v>
      </c>
      <c r="D10477" s="708" t="s">
        <v>1867</v>
      </c>
      <c r="E10477" s="710" t="s">
        <v>24</v>
      </c>
      <c r="F10477" s="712" t="s">
        <v>25</v>
      </c>
      <c r="G10477" s="714" t="s">
        <v>26</v>
      </c>
    </row>
    <row r="10478" spans="1:7" ht="19.899999999999999" customHeight="1" x14ac:dyDescent="0.2">
      <c r="A10478" s="491" t="s">
        <v>577</v>
      </c>
      <c r="B10478" s="491" t="s">
        <v>578</v>
      </c>
      <c r="C10478" s="709"/>
      <c r="D10478" s="709"/>
      <c r="E10478" s="711"/>
      <c r="F10478" s="713"/>
      <c r="G10478" s="715"/>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29</v>
      </c>
      <c r="G10490" s="532">
        <f>SUBTOTAL(9,G10479:G10489)</f>
        <v>0</v>
      </c>
    </row>
    <row r="10491" spans="1:7" ht="19.899999999999999" customHeight="1" x14ac:dyDescent="0.2">
      <c r="A10491" s="527"/>
      <c r="B10491" s="175"/>
      <c r="C10491" s="469" t="s">
        <v>1015</v>
      </c>
      <c r="D10491" s="473"/>
      <c r="E10491" s="474"/>
      <c r="F10491" s="475"/>
      <c r="G10491" s="528"/>
    </row>
    <row r="10492" spans="1:7" ht="19.899999999999999" customHeight="1" x14ac:dyDescent="0.2">
      <c r="A10492" s="706" t="s">
        <v>576</v>
      </c>
      <c r="B10492" s="707"/>
      <c r="C10492" s="708" t="s">
        <v>0</v>
      </c>
      <c r="D10492" s="708" t="s">
        <v>1867</v>
      </c>
      <c r="E10492" s="710" t="s">
        <v>24</v>
      </c>
      <c r="F10492" s="712" t="s">
        <v>25</v>
      </c>
      <c r="G10492" s="714" t="s">
        <v>26</v>
      </c>
    </row>
    <row r="10493" spans="1:7" ht="19.899999999999999" customHeight="1" x14ac:dyDescent="0.2">
      <c r="A10493" s="491" t="s">
        <v>577</v>
      </c>
      <c r="B10493" s="491" t="s">
        <v>578</v>
      </c>
      <c r="C10493" s="709"/>
      <c r="D10493" s="709"/>
      <c r="E10493" s="711"/>
      <c r="F10493" s="713"/>
      <c r="G10493" s="715"/>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1016</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1833</v>
      </c>
      <c r="E10498" s="586"/>
      <c r="F10498" s="587" t="str">
        <f ca="1">"$/"&amp;G10432</f>
        <v>$/0</v>
      </c>
      <c r="G10498" s="537">
        <f>SUBTOTAL(9,G10455:G10497)</f>
        <v>0</v>
      </c>
    </row>
    <row r="10499" spans="1:7" ht="19.899999999999999" customHeight="1" x14ac:dyDescent="0.2">
      <c r="A10499" s="533"/>
      <c r="B10499" s="534"/>
      <c r="C10499" s="535"/>
      <c r="D10499" s="535" t="s">
        <v>2043</v>
      </c>
      <c r="E10499" s="536"/>
      <c r="F10499" s="589" t="str">
        <f ca="1">"$/"&amp;G10432</f>
        <v>$/0</v>
      </c>
      <c r="G10499" s="537">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16" t="s">
        <v>31</v>
      </c>
      <c r="B10501" s="717"/>
      <c r="C10501" s="717"/>
      <c r="D10501" s="717"/>
      <c r="E10501" s="717"/>
      <c r="F10501" s="717"/>
      <c r="G10501" s="718"/>
    </row>
    <row r="10502" spans="1:7" ht="19.899999999999999" customHeight="1" x14ac:dyDescent="0.2">
      <c r="A10502" s="516" t="s">
        <v>711</v>
      </c>
      <c r="B10502" s="467" t="str">
        <f>Comitente</f>
        <v>DIRECCIÓN PROVINCIAL DE VIALIDAD</v>
      </c>
      <c r="C10502" s="468"/>
      <c r="D10502" s="469"/>
      <c r="E10502" s="469"/>
      <c r="F10502" s="470"/>
      <c r="G10502" s="517"/>
    </row>
    <row r="10503" spans="1:7" ht="19.899999999999999" customHeight="1" x14ac:dyDescent="0.2">
      <c r="A10503" s="516" t="s">
        <v>712</v>
      </c>
      <c r="B10503" s="467">
        <f>Contratista</f>
        <v>0</v>
      </c>
      <c r="C10503" s="471"/>
      <c r="D10503" s="471"/>
      <c r="E10503" s="471"/>
      <c r="F10503" s="467"/>
      <c r="G10503" s="518"/>
    </row>
    <row r="10504" spans="1:7" ht="19.899999999999999" customHeight="1" x14ac:dyDescent="0.2">
      <c r="A10504" s="516" t="s">
        <v>21</v>
      </c>
      <c r="B10504" s="467" t="str">
        <f>Obra</f>
        <v>OBRA BÁSICA Y PAVIMENTACIÓN CALLE GÜEMES</v>
      </c>
      <c r="C10504" s="471"/>
      <c r="D10504" s="471"/>
      <c r="E10504" s="471"/>
      <c r="F10504" s="467" t="s">
        <v>32</v>
      </c>
      <c r="G10504" s="518">
        <f>Fecha_Base</f>
        <v>0</v>
      </c>
    </row>
    <row r="10505" spans="1:7" ht="19.899999999999999" customHeight="1" x14ac:dyDescent="0.2">
      <c r="A10505" s="519" t="s">
        <v>710</v>
      </c>
      <c r="B10505" s="472" t="str">
        <f>Ubicación</f>
        <v>Rawson - Santa Lucia</v>
      </c>
      <c r="C10505" s="472"/>
      <c r="D10505" s="473"/>
      <c r="E10505" s="474"/>
      <c r="F10505" s="475"/>
      <c r="G10505" s="520"/>
    </row>
    <row r="10506" spans="1:7" ht="19.899999999999999" customHeight="1" x14ac:dyDescent="0.2">
      <c r="A10506" s="519" t="s">
        <v>33</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22</v>
      </c>
      <c r="B10507" s="477" t="str">
        <f>IFERROR(VLOOKUP(COUNTIF($A$1:A10507,"ANALISIS DE PRECIOS"),T_NumeroItem,2,FALSE),"")</f>
        <v/>
      </c>
      <c r="C10507" s="719">
        <f ca="1">IFERROR(VLOOKUP(B10507,T_Computo_Presupuesto,2,FALSE),0)</f>
        <v>0</v>
      </c>
      <c r="D10507" s="719"/>
      <c r="E10507" s="719"/>
      <c r="F10507" s="472" t="s">
        <v>23</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999</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1000</v>
      </c>
      <c r="D10511" s="482" t="s">
        <v>24</v>
      </c>
      <c r="E10511" s="482" t="s">
        <v>1001</v>
      </c>
      <c r="F10511" s="482" t="s">
        <v>1002</v>
      </c>
      <c r="G10511" s="481" t="s">
        <v>1003</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1004</v>
      </c>
      <c r="D10523" s="472" t="s">
        <v>1001</v>
      </c>
      <c r="E10523" s="538">
        <f>SUMPRODUCT(D10512:D10521,E10512:E10521)</f>
        <v>0</v>
      </c>
      <c r="F10523" s="472" t="s">
        <v>1005</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1006</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06" t="s">
        <v>576</v>
      </c>
      <c r="B10527" s="707"/>
      <c r="C10527" s="708" t="s">
        <v>0</v>
      </c>
      <c r="D10527" s="720" t="s">
        <v>1866</v>
      </c>
      <c r="E10527" s="720" t="s">
        <v>1865</v>
      </c>
      <c r="F10527" s="712" t="s">
        <v>1007</v>
      </c>
      <c r="G10527" s="714" t="s">
        <v>26</v>
      </c>
    </row>
    <row r="10528" spans="1:7" ht="19.899999999999999" customHeight="1" x14ac:dyDescent="0.2">
      <c r="A10528" s="491" t="s">
        <v>577</v>
      </c>
      <c r="B10528" s="491" t="s">
        <v>578</v>
      </c>
      <c r="C10528" s="709"/>
      <c r="D10528" s="721"/>
      <c r="E10528" s="711"/>
      <c r="F10528" s="713"/>
      <c r="G10528" s="715"/>
    </row>
    <row r="10529" spans="1:7" ht="19.899999999999999" customHeight="1" x14ac:dyDescent="0.2">
      <c r="A10529" s="527"/>
      <c r="B10529" s="175"/>
      <c r="C10529" s="469" t="s">
        <v>1008</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27</v>
      </c>
      <c r="G10539" s="531">
        <f>SUBTOTAL(9,G10530:G10538)</f>
        <v>0</v>
      </c>
    </row>
    <row r="10540" spans="1:7" ht="19.899999999999999" customHeight="1" x14ac:dyDescent="0.2">
      <c r="A10540" s="527"/>
      <c r="B10540" s="175"/>
      <c r="C10540" s="469" t="s">
        <v>713</v>
      </c>
      <c r="D10540" s="473"/>
      <c r="E10540" s="474"/>
      <c r="F10540" s="475"/>
      <c r="G10540" s="528"/>
    </row>
    <row r="10541" spans="1:7" ht="19.899999999999999" customHeight="1" x14ac:dyDescent="0.2">
      <c r="A10541" s="706" t="s">
        <v>576</v>
      </c>
      <c r="B10541" s="707"/>
      <c r="C10541" s="708" t="s">
        <v>0</v>
      </c>
      <c r="D10541" s="710" t="s">
        <v>24</v>
      </c>
      <c r="E10541" s="710" t="s">
        <v>1832</v>
      </c>
      <c r="F10541" s="712" t="s">
        <v>1007</v>
      </c>
      <c r="G10541" s="714" t="s">
        <v>26</v>
      </c>
    </row>
    <row r="10542" spans="1:7" ht="19.899999999999999" customHeight="1" x14ac:dyDescent="0.2">
      <c r="A10542" s="491" t="s">
        <v>577</v>
      </c>
      <c r="B10542" s="491" t="s">
        <v>578</v>
      </c>
      <c r="C10542" s="709"/>
      <c r="D10542" s="711"/>
      <c r="E10542" s="711"/>
      <c r="F10542" s="713"/>
      <c r="G10542" s="715"/>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28</v>
      </c>
      <c r="G10550" s="532">
        <f>SUBTOTAL(9,G10543:G10549)</f>
        <v>0</v>
      </c>
    </row>
    <row r="10551" spans="1:7" ht="19.899999999999999" customHeight="1" x14ac:dyDescent="0.2">
      <c r="A10551" s="527"/>
      <c r="B10551" s="175"/>
      <c r="C10551" s="469" t="s">
        <v>1014</v>
      </c>
      <c r="D10551" s="473"/>
      <c r="E10551" s="474"/>
      <c r="F10551" s="475"/>
      <c r="G10551" s="528"/>
    </row>
    <row r="10552" spans="1:7" ht="19.899999999999999" customHeight="1" x14ac:dyDescent="0.2">
      <c r="A10552" s="706" t="s">
        <v>576</v>
      </c>
      <c r="B10552" s="707"/>
      <c r="C10552" s="708" t="s">
        <v>0</v>
      </c>
      <c r="D10552" s="708" t="s">
        <v>1867</v>
      </c>
      <c r="E10552" s="710" t="s">
        <v>24</v>
      </c>
      <c r="F10552" s="712" t="s">
        <v>25</v>
      </c>
      <c r="G10552" s="714" t="s">
        <v>26</v>
      </c>
    </row>
    <row r="10553" spans="1:7" ht="19.899999999999999" customHeight="1" x14ac:dyDescent="0.2">
      <c r="A10553" s="491" t="s">
        <v>577</v>
      </c>
      <c r="B10553" s="491" t="s">
        <v>578</v>
      </c>
      <c r="C10553" s="709"/>
      <c r="D10553" s="709"/>
      <c r="E10553" s="711"/>
      <c r="F10553" s="713"/>
      <c r="G10553" s="715"/>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29</v>
      </c>
      <c r="G10565" s="532">
        <f>SUBTOTAL(9,G10554:G10564)</f>
        <v>0</v>
      </c>
    </row>
    <row r="10566" spans="1:7" ht="19.899999999999999" customHeight="1" x14ac:dyDescent="0.2">
      <c r="A10566" s="527"/>
      <c r="B10566" s="175"/>
      <c r="C10566" s="469" t="s">
        <v>1015</v>
      </c>
      <c r="D10566" s="473"/>
      <c r="E10566" s="474"/>
      <c r="F10566" s="475"/>
      <c r="G10566" s="528"/>
    </row>
    <row r="10567" spans="1:7" ht="19.899999999999999" customHeight="1" x14ac:dyDescent="0.2">
      <c r="A10567" s="706" t="s">
        <v>576</v>
      </c>
      <c r="B10567" s="707"/>
      <c r="C10567" s="708" t="s">
        <v>0</v>
      </c>
      <c r="D10567" s="708" t="s">
        <v>1867</v>
      </c>
      <c r="E10567" s="710" t="s">
        <v>24</v>
      </c>
      <c r="F10567" s="712" t="s">
        <v>25</v>
      </c>
      <c r="G10567" s="714" t="s">
        <v>26</v>
      </c>
    </row>
    <row r="10568" spans="1:7" ht="19.899999999999999" customHeight="1" x14ac:dyDescent="0.2">
      <c r="A10568" s="491" t="s">
        <v>577</v>
      </c>
      <c r="B10568" s="491" t="s">
        <v>578</v>
      </c>
      <c r="C10568" s="709"/>
      <c r="D10568" s="709"/>
      <c r="E10568" s="711"/>
      <c r="F10568" s="713"/>
      <c r="G10568" s="715"/>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1016</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1833</v>
      </c>
      <c r="E10573" s="586"/>
      <c r="F10573" s="587" t="str">
        <f ca="1">"$/"&amp;G10507</f>
        <v>$/0</v>
      </c>
      <c r="G10573" s="537">
        <f>SUBTOTAL(9,G10530:G10572)</f>
        <v>0</v>
      </c>
    </row>
    <row r="10574" spans="1:7" ht="19.899999999999999" customHeight="1" x14ac:dyDescent="0.2">
      <c r="A10574" s="533"/>
      <c r="B10574" s="534"/>
      <c r="C10574" s="535"/>
      <c r="D10574" s="535" t="s">
        <v>2043</v>
      </c>
      <c r="E10574" s="536"/>
      <c r="F10574" s="589" t="str">
        <f ca="1">"$/"&amp;G10507</f>
        <v>$/0</v>
      </c>
      <c r="G10574" s="537">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16" t="s">
        <v>31</v>
      </c>
      <c r="B10576" s="717"/>
      <c r="C10576" s="717"/>
      <c r="D10576" s="717"/>
      <c r="E10576" s="717"/>
      <c r="F10576" s="717"/>
      <c r="G10576" s="718"/>
    </row>
    <row r="10577" spans="1:7" ht="19.899999999999999" customHeight="1" x14ac:dyDescent="0.2">
      <c r="A10577" s="516" t="s">
        <v>711</v>
      </c>
      <c r="B10577" s="467" t="str">
        <f>Comitente</f>
        <v>DIRECCIÓN PROVINCIAL DE VIALIDAD</v>
      </c>
      <c r="C10577" s="468"/>
      <c r="D10577" s="469"/>
      <c r="E10577" s="469"/>
      <c r="F10577" s="470"/>
      <c r="G10577" s="517"/>
    </row>
    <row r="10578" spans="1:7" ht="19.899999999999999" customHeight="1" x14ac:dyDescent="0.2">
      <c r="A10578" s="516" t="s">
        <v>712</v>
      </c>
      <c r="B10578" s="467">
        <f>Contratista</f>
        <v>0</v>
      </c>
      <c r="C10578" s="471"/>
      <c r="D10578" s="471"/>
      <c r="E10578" s="471"/>
      <c r="F10578" s="467"/>
      <c r="G10578" s="518"/>
    </row>
    <row r="10579" spans="1:7" ht="19.899999999999999" customHeight="1" x14ac:dyDescent="0.2">
      <c r="A10579" s="516" t="s">
        <v>21</v>
      </c>
      <c r="B10579" s="467" t="str">
        <f>Obra</f>
        <v>OBRA BÁSICA Y PAVIMENTACIÓN CALLE GÜEMES</v>
      </c>
      <c r="C10579" s="471"/>
      <c r="D10579" s="471"/>
      <c r="E10579" s="471"/>
      <c r="F10579" s="467" t="s">
        <v>32</v>
      </c>
      <c r="G10579" s="518">
        <f>Fecha_Base</f>
        <v>0</v>
      </c>
    </row>
    <row r="10580" spans="1:7" ht="19.899999999999999" customHeight="1" x14ac:dyDescent="0.2">
      <c r="A10580" s="519" t="s">
        <v>710</v>
      </c>
      <c r="B10580" s="472" t="str">
        <f>Ubicación</f>
        <v>Rawson - Santa Lucia</v>
      </c>
      <c r="C10580" s="472"/>
      <c r="D10580" s="473"/>
      <c r="E10580" s="474"/>
      <c r="F10580" s="475"/>
      <c r="G10580" s="520"/>
    </row>
    <row r="10581" spans="1:7" ht="19.899999999999999" customHeight="1" x14ac:dyDescent="0.2">
      <c r="A10581" s="519" t="s">
        <v>33</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22</v>
      </c>
      <c r="B10582" s="477" t="str">
        <f>IFERROR(VLOOKUP(COUNTIF($A$1:A10582,"ANALISIS DE PRECIOS"),T_NumeroItem,2,FALSE),"")</f>
        <v/>
      </c>
      <c r="C10582" s="719">
        <f ca="1">IFERROR(VLOOKUP(B10582,T_Computo_Presupuesto,2,FALSE),0)</f>
        <v>0</v>
      </c>
      <c r="D10582" s="719"/>
      <c r="E10582" s="719"/>
      <c r="F10582" s="472" t="s">
        <v>23</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999</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1000</v>
      </c>
      <c r="D10586" s="482" t="s">
        <v>24</v>
      </c>
      <c r="E10586" s="482" t="s">
        <v>1001</v>
      </c>
      <c r="F10586" s="482" t="s">
        <v>1002</v>
      </c>
      <c r="G10586" s="481" t="s">
        <v>1003</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1004</v>
      </c>
      <c r="D10598" s="472" t="s">
        <v>1001</v>
      </c>
      <c r="E10598" s="538">
        <f>SUMPRODUCT(D10587:D10596,E10587:E10596)</f>
        <v>0</v>
      </c>
      <c r="F10598" s="472" t="s">
        <v>1005</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1006</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06" t="s">
        <v>576</v>
      </c>
      <c r="B10602" s="707"/>
      <c r="C10602" s="708" t="s">
        <v>0</v>
      </c>
      <c r="D10602" s="720" t="s">
        <v>1866</v>
      </c>
      <c r="E10602" s="720" t="s">
        <v>1865</v>
      </c>
      <c r="F10602" s="712" t="s">
        <v>1007</v>
      </c>
      <c r="G10602" s="714" t="s">
        <v>26</v>
      </c>
    </row>
    <row r="10603" spans="1:7" ht="19.899999999999999" customHeight="1" x14ac:dyDescent="0.2">
      <c r="A10603" s="491" t="s">
        <v>577</v>
      </c>
      <c r="B10603" s="491" t="s">
        <v>578</v>
      </c>
      <c r="C10603" s="709"/>
      <c r="D10603" s="721"/>
      <c r="E10603" s="711"/>
      <c r="F10603" s="713"/>
      <c r="G10603" s="715"/>
    </row>
    <row r="10604" spans="1:7" ht="19.899999999999999" customHeight="1" x14ac:dyDescent="0.2">
      <c r="A10604" s="527"/>
      <c r="B10604" s="175"/>
      <c r="C10604" s="469" t="s">
        <v>1008</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27</v>
      </c>
      <c r="G10614" s="531">
        <f>SUBTOTAL(9,G10605:G10613)</f>
        <v>0</v>
      </c>
    </row>
    <row r="10615" spans="1:7" ht="19.899999999999999" customHeight="1" x14ac:dyDescent="0.2">
      <c r="A10615" s="527"/>
      <c r="B10615" s="175"/>
      <c r="C10615" s="469" t="s">
        <v>713</v>
      </c>
      <c r="D10615" s="473"/>
      <c r="E10615" s="474"/>
      <c r="F10615" s="475"/>
      <c r="G10615" s="528"/>
    </row>
    <row r="10616" spans="1:7" ht="19.899999999999999" customHeight="1" x14ac:dyDescent="0.2">
      <c r="A10616" s="706" t="s">
        <v>576</v>
      </c>
      <c r="B10616" s="707"/>
      <c r="C10616" s="708" t="s">
        <v>0</v>
      </c>
      <c r="D10616" s="710" t="s">
        <v>24</v>
      </c>
      <c r="E10616" s="710" t="s">
        <v>1832</v>
      </c>
      <c r="F10616" s="712" t="s">
        <v>1007</v>
      </c>
      <c r="G10616" s="714" t="s">
        <v>26</v>
      </c>
    </row>
    <row r="10617" spans="1:7" ht="19.899999999999999" customHeight="1" x14ac:dyDescent="0.2">
      <c r="A10617" s="491" t="s">
        <v>577</v>
      </c>
      <c r="B10617" s="491" t="s">
        <v>578</v>
      </c>
      <c r="C10617" s="709"/>
      <c r="D10617" s="711"/>
      <c r="E10617" s="711"/>
      <c r="F10617" s="713"/>
      <c r="G10617" s="715"/>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28</v>
      </c>
      <c r="G10625" s="532">
        <f>SUBTOTAL(9,G10618:G10624)</f>
        <v>0</v>
      </c>
    </row>
    <row r="10626" spans="1:7" ht="19.899999999999999" customHeight="1" x14ac:dyDescent="0.2">
      <c r="A10626" s="527"/>
      <c r="B10626" s="175"/>
      <c r="C10626" s="469" t="s">
        <v>1014</v>
      </c>
      <c r="D10626" s="473"/>
      <c r="E10626" s="474"/>
      <c r="F10626" s="475"/>
      <c r="G10626" s="528"/>
    </row>
    <row r="10627" spans="1:7" ht="19.899999999999999" customHeight="1" x14ac:dyDescent="0.2">
      <c r="A10627" s="706" t="s">
        <v>576</v>
      </c>
      <c r="B10627" s="707"/>
      <c r="C10627" s="708" t="s">
        <v>0</v>
      </c>
      <c r="D10627" s="708" t="s">
        <v>1867</v>
      </c>
      <c r="E10627" s="710" t="s">
        <v>24</v>
      </c>
      <c r="F10627" s="712" t="s">
        <v>25</v>
      </c>
      <c r="G10627" s="714" t="s">
        <v>26</v>
      </c>
    </row>
    <row r="10628" spans="1:7" ht="19.899999999999999" customHeight="1" x14ac:dyDescent="0.2">
      <c r="A10628" s="491" t="s">
        <v>577</v>
      </c>
      <c r="B10628" s="491" t="s">
        <v>578</v>
      </c>
      <c r="C10628" s="709"/>
      <c r="D10628" s="709"/>
      <c r="E10628" s="711"/>
      <c r="F10628" s="713"/>
      <c r="G10628" s="715"/>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29</v>
      </c>
      <c r="G10640" s="532">
        <f>SUBTOTAL(9,G10629:G10639)</f>
        <v>0</v>
      </c>
    </row>
    <row r="10641" spans="1:7" ht="19.899999999999999" customHeight="1" x14ac:dyDescent="0.2">
      <c r="A10641" s="527"/>
      <c r="B10641" s="175"/>
      <c r="C10641" s="469" t="s">
        <v>1015</v>
      </c>
      <c r="D10641" s="473"/>
      <c r="E10641" s="474"/>
      <c r="F10641" s="475"/>
      <c r="G10641" s="528"/>
    </row>
    <row r="10642" spans="1:7" ht="19.899999999999999" customHeight="1" x14ac:dyDescent="0.2">
      <c r="A10642" s="706" t="s">
        <v>576</v>
      </c>
      <c r="B10642" s="707"/>
      <c r="C10642" s="708" t="s">
        <v>0</v>
      </c>
      <c r="D10642" s="708" t="s">
        <v>1867</v>
      </c>
      <c r="E10642" s="710" t="s">
        <v>24</v>
      </c>
      <c r="F10642" s="712" t="s">
        <v>25</v>
      </c>
      <c r="G10642" s="714" t="s">
        <v>26</v>
      </c>
    </row>
    <row r="10643" spans="1:7" ht="19.899999999999999" customHeight="1" x14ac:dyDescent="0.2">
      <c r="A10643" s="491" t="s">
        <v>577</v>
      </c>
      <c r="B10643" s="491" t="s">
        <v>578</v>
      </c>
      <c r="C10643" s="709"/>
      <c r="D10643" s="709"/>
      <c r="E10643" s="711"/>
      <c r="F10643" s="713"/>
      <c r="G10643" s="715"/>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1016</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1833</v>
      </c>
      <c r="E10648" s="586"/>
      <c r="F10648" s="587" t="str">
        <f ca="1">"$/"&amp;G10582</f>
        <v>$/0</v>
      </c>
      <c r="G10648" s="537">
        <f>SUBTOTAL(9,G10605:G10647)</f>
        <v>0</v>
      </c>
    </row>
    <row r="10649" spans="1:7" ht="19.899999999999999" customHeight="1" x14ac:dyDescent="0.2">
      <c r="A10649" s="533"/>
      <c r="B10649" s="534"/>
      <c r="C10649" s="535"/>
      <c r="D10649" s="535" t="s">
        <v>2043</v>
      </c>
      <c r="E10649" s="536"/>
      <c r="F10649" s="589" t="str">
        <f ca="1">"$/"&amp;G10582</f>
        <v>$/0</v>
      </c>
      <c r="G10649" s="537">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16" t="s">
        <v>31</v>
      </c>
      <c r="B10651" s="717"/>
      <c r="C10651" s="717"/>
      <c r="D10651" s="717"/>
      <c r="E10651" s="717"/>
      <c r="F10651" s="717"/>
      <c r="G10651" s="718"/>
    </row>
    <row r="10652" spans="1:7" ht="19.899999999999999" customHeight="1" x14ac:dyDescent="0.2">
      <c r="A10652" s="516" t="s">
        <v>711</v>
      </c>
      <c r="B10652" s="467" t="str">
        <f>Comitente</f>
        <v>DIRECCIÓN PROVINCIAL DE VIALIDAD</v>
      </c>
      <c r="C10652" s="468"/>
      <c r="D10652" s="469"/>
      <c r="E10652" s="469"/>
      <c r="F10652" s="470"/>
      <c r="G10652" s="517"/>
    </row>
    <row r="10653" spans="1:7" ht="19.899999999999999" customHeight="1" x14ac:dyDescent="0.2">
      <c r="A10653" s="516" t="s">
        <v>712</v>
      </c>
      <c r="B10653" s="467">
        <f>Contratista</f>
        <v>0</v>
      </c>
      <c r="C10653" s="471"/>
      <c r="D10653" s="471"/>
      <c r="E10653" s="471"/>
      <c r="F10653" s="467"/>
      <c r="G10653" s="518"/>
    </row>
    <row r="10654" spans="1:7" ht="19.899999999999999" customHeight="1" x14ac:dyDescent="0.2">
      <c r="A10654" s="516" t="s">
        <v>21</v>
      </c>
      <c r="B10654" s="467" t="str">
        <f>Obra</f>
        <v>OBRA BÁSICA Y PAVIMENTACIÓN CALLE GÜEMES</v>
      </c>
      <c r="C10654" s="471"/>
      <c r="D10654" s="471"/>
      <c r="E10654" s="471"/>
      <c r="F10654" s="467" t="s">
        <v>32</v>
      </c>
      <c r="G10654" s="518">
        <f>Fecha_Base</f>
        <v>0</v>
      </c>
    </row>
    <row r="10655" spans="1:7" ht="19.899999999999999" customHeight="1" x14ac:dyDescent="0.2">
      <c r="A10655" s="519" t="s">
        <v>710</v>
      </c>
      <c r="B10655" s="472" t="str">
        <f>Ubicación</f>
        <v>Rawson - Santa Lucia</v>
      </c>
      <c r="C10655" s="472"/>
      <c r="D10655" s="473"/>
      <c r="E10655" s="474"/>
      <c r="F10655" s="475"/>
      <c r="G10655" s="520"/>
    </row>
    <row r="10656" spans="1:7" ht="19.899999999999999" customHeight="1" x14ac:dyDescent="0.2">
      <c r="A10656" s="519" t="s">
        <v>33</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22</v>
      </c>
      <c r="B10657" s="477" t="str">
        <f>IFERROR(VLOOKUP(COUNTIF($A$1:A10657,"ANALISIS DE PRECIOS"),T_NumeroItem,2,FALSE),"")</f>
        <v/>
      </c>
      <c r="C10657" s="719">
        <f ca="1">IFERROR(VLOOKUP(B10657,T_Computo_Presupuesto,2,FALSE),0)</f>
        <v>0</v>
      </c>
      <c r="D10657" s="719"/>
      <c r="E10657" s="719"/>
      <c r="F10657" s="472" t="s">
        <v>23</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999</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1000</v>
      </c>
      <c r="D10661" s="482" t="s">
        <v>24</v>
      </c>
      <c r="E10661" s="482" t="s">
        <v>1001</v>
      </c>
      <c r="F10661" s="482" t="s">
        <v>1002</v>
      </c>
      <c r="G10661" s="481" t="s">
        <v>1003</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1004</v>
      </c>
      <c r="D10673" s="472" t="s">
        <v>1001</v>
      </c>
      <c r="E10673" s="538">
        <f>SUMPRODUCT(D10662:D10671,E10662:E10671)</f>
        <v>0</v>
      </c>
      <c r="F10673" s="472" t="s">
        <v>1005</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1006</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06" t="s">
        <v>576</v>
      </c>
      <c r="B10677" s="707"/>
      <c r="C10677" s="708" t="s">
        <v>0</v>
      </c>
      <c r="D10677" s="720" t="s">
        <v>1866</v>
      </c>
      <c r="E10677" s="720" t="s">
        <v>1865</v>
      </c>
      <c r="F10677" s="712" t="s">
        <v>1007</v>
      </c>
      <c r="G10677" s="714" t="s">
        <v>26</v>
      </c>
    </row>
    <row r="10678" spans="1:7" ht="19.899999999999999" customHeight="1" x14ac:dyDescent="0.2">
      <c r="A10678" s="491" t="s">
        <v>577</v>
      </c>
      <c r="B10678" s="491" t="s">
        <v>578</v>
      </c>
      <c r="C10678" s="709"/>
      <c r="D10678" s="721"/>
      <c r="E10678" s="711"/>
      <c r="F10678" s="713"/>
      <c r="G10678" s="715"/>
    </row>
    <row r="10679" spans="1:7" ht="19.899999999999999" customHeight="1" x14ac:dyDescent="0.2">
      <c r="A10679" s="527"/>
      <c r="B10679" s="175"/>
      <c r="C10679" s="469" t="s">
        <v>1008</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27</v>
      </c>
      <c r="G10689" s="531">
        <f>SUBTOTAL(9,G10680:G10688)</f>
        <v>0</v>
      </c>
    </row>
    <row r="10690" spans="1:7" ht="19.899999999999999" customHeight="1" x14ac:dyDescent="0.2">
      <c r="A10690" s="527"/>
      <c r="B10690" s="175"/>
      <c r="C10690" s="469" t="s">
        <v>713</v>
      </c>
      <c r="D10690" s="473"/>
      <c r="E10690" s="474"/>
      <c r="F10690" s="475"/>
      <c r="G10690" s="528"/>
    </row>
    <row r="10691" spans="1:7" ht="19.899999999999999" customHeight="1" x14ac:dyDescent="0.2">
      <c r="A10691" s="706" t="s">
        <v>576</v>
      </c>
      <c r="B10691" s="707"/>
      <c r="C10691" s="708" t="s">
        <v>0</v>
      </c>
      <c r="D10691" s="710" t="s">
        <v>24</v>
      </c>
      <c r="E10691" s="710" t="s">
        <v>1832</v>
      </c>
      <c r="F10691" s="712" t="s">
        <v>1007</v>
      </c>
      <c r="G10691" s="714" t="s">
        <v>26</v>
      </c>
    </row>
    <row r="10692" spans="1:7" ht="19.899999999999999" customHeight="1" x14ac:dyDescent="0.2">
      <c r="A10692" s="491" t="s">
        <v>577</v>
      </c>
      <c r="B10692" s="491" t="s">
        <v>578</v>
      </c>
      <c r="C10692" s="709"/>
      <c r="D10692" s="711"/>
      <c r="E10692" s="711"/>
      <c r="F10692" s="713"/>
      <c r="G10692" s="715"/>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28</v>
      </c>
      <c r="G10700" s="532">
        <f>SUBTOTAL(9,G10693:G10699)</f>
        <v>0</v>
      </c>
    </row>
    <row r="10701" spans="1:7" ht="19.899999999999999" customHeight="1" x14ac:dyDescent="0.2">
      <c r="A10701" s="527"/>
      <c r="B10701" s="175"/>
      <c r="C10701" s="469" t="s">
        <v>1014</v>
      </c>
      <c r="D10701" s="473"/>
      <c r="E10701" s="474"/>
      <c r="F10701" s="475"/>
      <c r="G10701" s="528"/>
    </row>
    <row r="10702" spans="1:7" ht="19.899999999999999" customHeight="1" x14ac:dyDescent="0.2">
      <c r="A10702" s="706" t="s">
        <v>576</v>
      </c>
      <c r="B10702" s="707"/>
      <c r="C10702" s="708" t="s">
        <v>0</v>
      </c>
      <c r="D10702" s="708" t="s">
        <v>1867</v>
      </c>
      <c r="E10702" s="710" t="s">
        <v>24</v>
      </c>
      <c r="F10702" s="712" t="s">
        <v>25</v>
      </c>
      <c r="G10702" s="714" t="s">
        <v>26</v>
      </c>
    </row>
    <row r="10703" spans="1:7" ht="19.899999999999999" customHeight="1" x14ac:dyDescent="0.2">
      <c r="A10703" s="491" t="s">
        <v>577</v>
      </c>
      <c r="B10703" s="491" t="s">
        <v>578</v>
      </c>
      <c r="C10703" s="709"/>
      <c r="D10703" s="709"/>
      <c r="E10703" s="711"/>
      <c r="F10703" s="713"/>
      <c r="G10703" s="715"/>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29</v>
      </c>
      <c r="G10715" s="532">
        <f>SUBTOTAL(9,G10704:G10714)</f>
        <v>0</v>
      </c>
    </row>
    <row r="10716" spans="1:7" ht="19.899999999999999" customHeight="1" x14ac:dyDescent="0.2">
      <c r="A10716" s="527"/>
      <c r="B10716" s="175"/>
      <c r="C10716" s="469" t="s">
        <v>1015</v>
      </c>
      <c r="D10716" s="473"/>
      <c r="E10716" s="474"/>
      <c r="F10716" s="475"/>
      <c r="G10716" s="528"/>
    </row>
    <row r="10717" spans="1:7" ht="19.899999999999999" customHeight="1" x14ac:dyDescent="0.2">
      <c r="A10717" s="706" t="s">
        <v>576</v>
      </c>
      <c r="B10717" s="707"/>
      <c r="C10717" s="708" t="s">
        <v>0</v>
      </c>
      <c r="D10717" s="708" t="s">
        <v>1867</v>
      </c>
      <c r="E10717" s="710" t="s">
        <v>24</v>
      </c>
      <c r="F10717" s="712" t="s">
        <v>25</v>
      </c>
      <c r="G10717" s="714" t="s">
        <v>26</v>
      </c>
    </row>
    <row r="10718" spans="1:7" ht="19.899999999999999" customHeight="1" x14ac:dyDescent="0.2">
      <c r="A10718" s="491" t="s">
        <v>577</v>
      </c>
      <c r="B10718" s="491" t="s">
        <v>578</v>
      </c>
      <c r="C10718" s="709"/>
      <c r="D10718" s="709"/>
      <c r="E10718" s="711"/>
      <c r="F10718" s="713"/>
      <c r="G10718" s="715"/>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1016</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1833</v>
      </c>
      <c r="E10723" s="586"/>
      <c r="F10723" s="587" t="str">
        <f ca="1">"$/"&amp;G10657</f>
        <v>$/0</v>
      </c>
      <c r="G10723" s="537">
        <f>SUBTOTAL(9,G10680:G10722)</f>
        <v>0</v>
      </c>
    </row>
    <row r="10724" spans="1:7" ht="19.899999999999999" customHeight="1" x14ac:dyDescent="0.2">
      <c r="A10724" s="533"/>
      <c r="B10724" s="534"/>
      <c r="C10724" s="535"/>
      <c r="D10724" s="535" t="s">
        <v>2043</v>
      </c>
      <c r="E10724" s="536"/>
      <c r="F10724" s="589" t="str">
        <f ca="1">"$/"&amp;G10657</f>
        <v>$/0</v>
      </c>
      <c r="G10724" s="537">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16" t="s">
        <v>31</v>
      </c>
      <c r="B10726" s="717"/>
      <c r="C10726" s="717"/>
      <c r="D10726" s="717"/>
      <c r="E10726" s="717"/>
      <c r="F10726" s="717"/>
      <c r="G10726" s="718"/>
    </row>
    <row r="10727" spans="1:7" ht="19.899999999999999" customHeight="1" x14ac:dyDescent="0.2">
      <c r="A10727" s="516" t="s">
        <v>711</v>
      </c>
      <c r="B10727" s="467" t="str">
        <f>Comitente</f>
        <v>DIRECCIÓN PROVINCIAL DE VIALIDAD</v>
      </c>
      <c r="C10727" s="468"/>
      <c r="D10727" s="469"/>
      <c r="E10727" s="469"/>
      <c r="F10727" s="470"/>
      <c r="G10727" s="517"/>
    </row>
    <row r="10728" spans="1:7" ht="19.899999999999999" customHeight="1" x14ac:dyDescent="0.2">
      <c r="A10728" s="516" t="s">
        <v>712</v>
      </c>
      <c r="B10728" s="467">
        <f>Contratista</f>
        <v>0</v>
      </c>
      <c r="C10728" s="471"/>
      <c r="D10728" s="471"/>
      <c r="E10728" s="471"/>
      <c r="F10728" s="467"/>
      <c r="G10728" s="518"/>
    </row>
    <row r="10729" spans="1:7" ht="19.899999999999999" customHeight="1" x14ac:dyDescent="0.2">
      <c r="A10729" s="516" t="s">
        <v>21</v>
      </c>
      <c r="B10729" s="467" t="str">
        <f>Obra</f>
        <v>OBRA BÁSICA Y PAVIMENTACIÓN CALLE GÜEMES</v>
      </c>
      <c r="C10729" s="471"/>
      <c r="D10729" s="471"/>
      <c r="E10729" s="471"/>
      <c r="F10729" s="467" t="s">
        <v>32</v>
      </c>
      <c r="G10729" s="518">
        <f>Fecha_Base</f>
        <v>0</v>
      </c>
    </row>
    <row r="10730" spans="1:7" ht="19.899999999999999" customHeight="1" x14ac:dyDescent="0.2">
      <c r="A10730" s="519" t="s">
        <v>710</v>
      </c>
      <c r="B10730" s="472" t="str">
        <f>Ubicación</f>
        <v>Rawson - Santa Lucia</v>
      </c>
      <c r="C10730" s="472"/>
      <c r="D10730" s="473"/>
      <c r="E10730" s="474"/>
      <c r="F10730" s="475"/>
      <c r="G10730" s="520"/>
    </row>
    <row r="10731" spans="1:7" ht="19.899999999999999" customHeight="1" x14ac:dyDescent="0.2">
      <c r="A10731" s="519" t="s">
        <v>33</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22</v>
      </c>
      <c r="B10732" s="477" t="str">
        <f>IFERROR(VLOOKUP(COUNTIF($A$1:A10732,"ANALISIS DE PRECIOS"),T_NumeroItem,2,FALSE),"")</f>
        <v/>
      </c>
      <c r="C10732" s="719">
        <f ca="1">IFERROR(VLOOKUP(B10732,T_Computo_Presupuesto,2,FALSE),0)</f>
        <v>0</v>
      </c>
      <c r="D10732" s="719"/>
      <c r="E10732" s="719"/>
      <c r="F10732" s="472" t="s">
        <v>23</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999</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1000</v>
      </c>
      <c r="D10736" s="482" t="s">
        <v>24</v>
      </c>
      <c r="E10736" s="482" t="s">
        <v>1001</v>
      </c>
      <c r="F10736" s="482" t="s">
        <v>1002</v>
      </c>
      <c r="G10736" s="481" t="s">
        <v>1003</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1004</v>
      </c>
      <c r="D10748" s="472" t="s">
        <v>1001</v>
      </c>
      <c r="E10748" s="538">
        <f>SUMPRODUCT(D10737:D10746,E10737:E10746)</f>
        <v>0</v>
      </c>
      <c r="F10748" s="472" t="s">
        <v>1005</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1006</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06" t="s">
        <v>576</v>
      </c>
      <c r="B10752" s="707"/>
      <c r="C10752" s="708" t="s">
        <v>0</v>
      </c>
      <c r="D10752" s="720" t="s">
        <v>1866</v>
      </c>
      <c r="E10752" s="720" t="s">
        <v>1865</v>
      </c>
      <c r="F10752" s="712" t="s">
        <v>1007</v>
      </c>
      <c r="G10752" s="714" t="s">
        <v>26</v>
      </c>
    </row>
    <row r="10753" spans="1:7" ht="19.899999999999999" customHeight="1" x14ac:dyDescent="0.2">
      <c r="A10753" s="491" t="s">
        <v>577</v>
      </c>
      <c r="B10753" s="491" t="s">
        <v>578</v>
      </c>
      <c r="C10753" s="709"/>
      <c r="D10753" s="721"/>
      <c r="E10753" s="711"/>
      <c r="F10753" s="713"/>
      <c r="G10753" s="715"/>
    </row>
    <row r="10754" spans="1:7" ht="19.899999999999999" customHeight="1" x14ac:dyDescent="0.2">
      <c r="A10754" s="527"/>
      <c r="B10754" s="175"/>
      <c r="C10754" s="469" t="s">
        <v>1008</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27</v>
      </c>
      <c r="G10764" s="531">
        <f>SUBTOTAL(9,G10755:G10763)</f>
        <v>0</v>
      </c>
    </row>
    <row r="10765" spans="1:7" ht="19.899999999999999" customHeight="1" x14ac:dyDescent="0.2">
      <c r="A10765" s="527"/>
      <c r="B10765" s="175"/>
      <c r="C10765" s="469" t="s">
        <v>713</v>
      </c>
      <c r="D10765" s="473"/>
      <c r="E10765" s="474"/>
      <c r="F10765" s="475"/>
      <c r="G10765" s="528"/>
    </row>
    <row r="10766" spans="1:7" ht="19.899999999999999" customHeight="1" x14ac:dyDescent="0.2">
      <c r="A10766" s="706" t="s">
        <v>576</v>
      </c>
      <c r="B10766" s="707"/>
      <c r="C10766" s="708" t="s">
        <v>0</v>
      </c>
      <c r="D10766" s="710" t="s">
        <v>24</v>
      </c>
      <c r="E10766" s="710" t="s">
        <v>1832</v>
      </c>
      <c r="F10766" s="712" t="s">
        <v>1007</v>
      </c>
      <c r="G10766" s="714" t="s">
        <v>26</v>
      </c>
    </row>
    <row r="10767" spans="1:7" ht="19.899999999999999" customHeight="1" x14ac:dyDescent="0.2">
      <c r="A10767" s="491" t="s">
        <v>577</v>
      </c>
      <c r="B10767" s="491" t="s">
        <v>578</v>
      </c>
      <c r="C10767" s="709"/>
      <c r="D10767" s="711"/>
      <c r="E10767" s="711"/>
      <c r="F10767" s="713"/>
      <c r="G10767" s="715"/>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28</v>
      </c>
      <c r="G10775" s="532">
        <f>SUBTOTAL(9,G10768:G10774)</f>
        <v>0</v>
      </c>
    </row>
    <row r="10776" spans="1:7" ht="19.899999999999999" customHeight="1" x14ac:dyDescent="0.2">
      <c r="A10776" s="527"/>
      <c r="B10776" s="175"/>
      <c r="C10776" s="469" t="s">
        <v>1014</v>
      </c>
      <c r="D10776" s="473"/>
      <c r="E10776" s="474"/>
      <c r="F10776" s="475"/>
      <c r="G10776" s="528"/>
    </row>
    <row r="10777" spans="1:7" ht="19.899999999999999" customHeight="1" x14ac:dyDescent="0.2">
      <c r="A10777" s="706" t="s">
        <v>576</v>
      </c>
      <c r="B10777" s="707"/>
      <c r="C10777" s="708" t="s">
        <v>0</v>
      </c>
      <c r="D10777" s="708" t="s">
        <v>1867</v>
      </c>
      <c r="E10777" s="710" t="s">
        <v>24</v>
      </c>
      <c r="F10777" s="712" t="s">
        <v>25</v>
      </c>
      <c r="G10777" s="714" t="s">
        <v>26</v>
      </c>
    </row>
    <row r="10778" spans="1:7" ht="19.899999999999999" customHeight="1" x14ac:dyDescent="0.2">
      <c r="A10778" s="491" t="s">
        <v>577</v>
      </c>
      <c r="B10778" s="491" t="s">
        <v>578</v>
      </c>
      <c r="C10778" s="709"/>
      <c r="D10778" s="709"/>
      <c r="E10778" s="711"/>
      <c r="F10778" s="713"/>
      <c r="G10778" s="715"/>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29</v>
      </c>
      <c r="G10790" s="532">
        <f>SUBTOTAL(9,G10779:G10789)</f>
        <v>0</v>
      </c>
    </row>
    <row r="10791" spans="1:7" ht="19.899999999999999" customHeight="1" x14ac:dyDescent="0.2">
      <c r="A10791" s="527"/>
      <c r="B10791" s="175"/>
      <c r="C10791" s="469" t="s">
        <v>1015</v>
      </c>
      <c r="D10791" s="473"/>
      <c r="E10791" s="474"/>
      <c r="F10791" s="475"/>
      <c r="G10791" s="528"/>
    </row>
    <row r="10792" spans="1:7" ht="19.899999999999999" customHeight="1" x14ac:dyDescent="0.2">
      <c r="A10792" s="706" t="s">
        <v>576</v>
      </c>
      <c r="B10792" s="707"/>
      <c r="C10792" s="708" t="s">
        <v>0</v>
      </c>
      <c r="D10792" s="708" t="s">
        <v>1867</v>
      </c>
      <c r="E10792" s="710" t="s">
        <v>24</v>
      </c>
      <c r="F10792" s="712" t="s">
        <v>25</v>
      </c>
      <c r="G10792" s="714" t="s">
        <v>26</v>
      </c>
    </row>
    <row r="10793" spans="1:7" ht="19.899999999999999" customHeight="1" x14ac:dyDescent="0.2">
      <c r="A10793" s="491" t="s">
        <v>577</v>
      </c>
      <c r="B10793" s="491" t="s">
        <v>578</v>
      </c>
      <c r="C10793" s="709"/>
      <c r="D10793" s="709"/>
      <c r="E10793" s="711"/>
      <c r="F10793" s="713"/>
      <c r="G10793" s="715"/>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1016</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1833</v>
      </c>
      <c r="E10798" s="586"/>
      <c r="F10798" s="587" t="str">
        <f ca="1">"$/"&amp;G10732</f>
        <v>$/0</v>
      </c>
      <c r="G10798" s="537">
        <f>SUBTOTAL(9,G10755:G10797)</f>
        <v>0</v>
      </c>
    </row>
    <row r="10799" spans="1:7" ht="19.899999999999999" customHeight="1" x14ac:dyDescent="0.2">
      <c r="A10799" s="533"/>
      <c r="B10799" s="534"/>
      <c r="C10799" s="535"/>
      <c r="D10799" s="535" t="s">
        <v>2043</v>
      </c>
      <c r="E10799" s="536"/>
      <c r="F10799" s="589" t="str">
        <f ca="1">"$/"&amp;G10732</f>
        <v>$/0</v>
      </c>
      <c r="G10799" s="537">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16" t="s">
        <v>31</v>
      </c>
      <c r="B10801" s="717"/>
      <c r="C10801" s="717"/>
      <c r="D10801" s="717"/>
      <c r="E10801" s="717"/>
      <c r="F10801" s="717"/>
      <c r="G10801" s="718"/>
    </row>
    <row r="10802" spans="1:7" ht="19.899999999999999" customHeight="1" x14ac:dyDescent="0.2">
      <c r="A10802" s="516" t="s">
        <v>711</v>
      </c>
      <c r="B10802" s="467" t="str">
        <f>Comitente</f>
        <v>DIRECCIÓN PROVINCIAL DE VIALIDAD</v>
      </c>
      <c r="C10802" s="468"/>
      <c r="D10802" s="469"/>
      <c r="E10802" s="469"/>
      <c r="F10802" s="470"/>
      <c r="G10802" s="517"/>
    </row>
    <row r="10803" spans="1:7" ht="19.899999999999999" customHeight="1" x14ac:dyDescent="0.2">
      <c r="A10803" s="516" t="s">
        <v>712</v>
      </c>
      <c r="B10803" s="467">
        <f>Contratista</f>
        <v>0</v>
      </c>
      <c r="C10803" s="471"/>
      <c r="D10803" s="471"/>
      <c r="E10803" s="471"/>
      <c r="F10803" s="467"/>
      <c r="G10803" s="518"/>
    </row>
    <row r="10804" spans="1:7" ht="19.899999999999999" customHeight="1" x14ac:dyDescent="0.2">
      <c r="A10804" s="516" t="s">
        <v>21</v>
      </c>
      <c r="B10804" s="467" t="str">
        <f>Obra</f>
        <v>OBRA BÁSICA Y PAVIMENTACIÓN CALLE GÜEMES</v>
      </c>
      <c r="C10804" s="471"/>
      <c r="D10804" s="471"/>
      <c r="E10804" s="471"/>
      <c r="F10804" s="467" t="s">
        <v>32</v>
      </c>
      <c r="G10804" s="518">
        <f>Fecha_Base</f>
        <v>0</v>
      </c>
    </row>
    <row r="10805" spans="1:7" ht="19.899999999999999" customHeight="1" x14ac:dyDescent="0.2">
      <c r="A10805" s="519" t="s">
        <v>710</v>
      </c>
      <c r="B10805" s="472" t="str">
        <f>Ubicación</f>
        <v>Rawson - Santa Lucia</v>
      </c>
      <c r="C10805" s="472"/>
      <c r="D10805" s="473"/>
      <c r="E10805" s="474"/>
      <c r="F10805" s="475"/>
      <c r="G10805" s="520"/>
    </row>
    <row r="10806" spans="1:7" ht="19.899999999999999" customHeight="1" x14ac:dyDescent="0.2">
      <c r="A10806" s="519" t="s">
        <v>33</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22</v>
      </c>
      <c r="B10807" s="477" t="str">
        <f>IFERROR(VLOOKUP(COUNTIF($A$1:A10807,"ANALISIS DE PRECIOS"),T_NumeroItem,2,FALSE),"")</f>
        <v/>
      </c>
      <c r="C10807" s="719">
        <f ca="1">IFERROR(VLOOKUP(B10807,T_Computo_Presupuesto,2,FALSE),0)</f>
        <v>0</v>
      </c>
      <c r="D10807" s="719"/>
      <c r="E10807" s="719"/>
      <c r="F10807" s="472" t="s">
        <v>23</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999</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1000</v>
      </c>
      <c r="D10811" s="482" t="s">
        <v>24</v>
      </c>
      <c r="E10811" s="482" t="s">
        <v>1001</v>
      </c>
      <c r="F10811" s="482" t="s">
        <v>1002</v>
      </c>
      <c r="G10811" s="481" t="s">
        <v>1003</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1004</v>
      </c>
      <c r="D10823" s="472" t="s">
        <v>1001</v>
      </c>
      <c r="E10823" s="538">
        <f>SUMPRODUCT(D10812:D10821,E10812:E10821)</f>
        <v>0</v>
      </c>
      <c r="F10823" s="472" t="s">
        <v>1005</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1006</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06" t="s">
        <v>576</v>
      </c>
      <c r="B10827" s="707"/>
      <c r="C10827" s="708" t="s">
        <v>0</v>
      </c>
      <c r="D10827" s="720" t="s">
        <v>1866</v>
      </c>
      <c r="E10827" s="720" t="s">
        <v>1865</v>
      </c>
      <c r="F10827" s="712" t="s">
        <v>1007</v>
      </c>
      <c r="G10827" s="714" t="s">
        <v>26</v>
      </c>
    </row>
    <row r="10828" spans="1:7" ht="19.899999999999999" customHeight="1" x14ac:dyDescent="0.2">
      <c r="A10828" s="491" t="s">
        <v>577</v>
      </c>
      <c r="B10828" s="491" t="s">
        <v>578</v>
      </c>
      <c r="C10828" s="709"/>
      <c r="D10828" s="721"/>
      <c r="E10828" s="711"/>
      <c r="F10828" s="713"/>
      <c r="G10828" s="715"/>
    </row>
    <row r="10829" spans="1:7" ht="19.899999999999999" customHeight="1" x14ac:dyDescent="0.2">
      <c r="A10829" s="527"/>
      <c r="B10829" s="175"/>
      <c r="C10829" s="469" t="s">
        <v>1008</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27</v>
      </c>
      <c r="G10839" s="531">
        <f>SUBTOTAL(9,G10830:G10838)</f>
        <v>0</v>
      </c>
    </row>
    <row r="10840" spans="1:7" ht="19.899999999999999" customHeight="1" x14ac:dyDescent="0.2">
      <c r="A10840" s="527"/>
      <c r="B10840" s="175"/>
      <c r="C10840" s="469" t="s">
        <v>713</v>
      </c>
      <c r="D10840" s="473"/>
      <c r="E10840" s="474"/>
      <c r="F10840" s="475"/>
      <c r="G10840" s="528"/>
    </row>
    <row r="10841" spans="1:7" ht="19.899999999999999" customHeight="1" x14ac:dyDescent="0.2">
      <c r="A10841" s="706" t="s">
        <v>576</v>
      </c>
      <c r="B10841" s="707"/>
      <c r="C10841" s="708" t="s">
        <v>0</v>
      </c>
      <c r="D10841" s="710" t="s">
        <v>24</v>
      </c>
      <c r="E10841" s="710" t="s">
        <v>1832</v>
      </c>
      <c r="F10841" s="712" t="s">
        <v>1007</v>
      </c>
      <c r="G10841" s="714" t="s">
        <v>26</v>
      </c>
    </row>
    <row r="10842" spans="1:7" ht="19.899999999999999" customHeight="1" x14ac:dyDescent="0.2">
      <c r="A10842" s="491" t="s">
        <v>577</v>
      </c>
      <c r="B10842" s="491" t="s">
        <v>578</v>
      </c>
      <c r="C10842" s="709"/>
      <c r="D10842" s="711"/>
      <c r="E10842" s="711"/>
      <c r="F10842" s="713"/>
      <c r="G10842" s="715"/>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28</v>
      </c>
      <c r="G10850" s="532">
        <f>SUBTOTAL(9,G10843:G10849)</f>
        <v>0</v>
      </c>
    </row>
    <row r="10851" spans="1:7" ht="19.899999999999999" customHeight="1" x14ac:dyDescent="0.2">
      <c r="A10851" s="527"/>
      <c r="B10851" s="175"/>
      <c r="C10851" s="469" t="s">
        <v>1014</v>
      </c>
      <c r="D10851" s="473"/>
      <c r="E10851" s="474"/>
      <c r="F10851" s="475"/>
      <c r="G10851" s="528"/>
    </row>
    <row r="10852" spans="1:7" ht="19.899999999999999" customHeight="1" x14ac:dyDescent="0.2">
      <c r="A10852" s="706" t="s">
        <v>576</v>
      </c>
      <c r="B10852" s="707"/>
      <c r="C10852" s="708" t="s">
        <v>0</v>
      </c>
      <c r="D10852" s="708" t="s">
        <v>1867</v>
      </c>
      <c r="E10852" s="710" t="s">
        <v>24</v>
      </c>
      <c r="F10852" s="712" t="s">
        <v>25</v>
      </c>
      <c r="G10852" s="714" t="s">
        <v>26</v>
      </c>
    </row>
    <row r="10853" spans="1:7" ht="19.899999999999999" customHeight="1" x14ac:dyDescent="0.2">
      <c r="A10853" s="491" t="s">
        <v>577</v>
      </c>
      <c r="B10853" s="491" t="s">
        <v>578</v>
      </c>
      <c r="C10853" s="709"/>
      <c r="D10853" s="709"/>
      <c r="E10853" s="711"/>
      <c r="F10853" s="713"/>
      <c r="G10853" s="715"/>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29</v>
      </c>
      <c r="G10865" s="532">
        <f>SUBTOTAL(9,G10854:G10864)</f>
        <v>0</v>
      </c>
    </row>
    <row r="10866" spans="1:7" ht="19.899999999999999" customHeight="1" x14ac:dyDescent="0.2">
      <c r="A10866" s="527"/>
      <c r="B10866" s="175"/>
      <c r="C10866" s="469" t="s">
        <v>1015</v>
      </c>
      <c r="D10866" s="473"/>
      <c r="E10866" s="474"/>
      <c r="F10866" s="475"/>
      <c r="G10866" s="528"/>
    </row>
    <row r="10867" spans="1:7" ht="19.899999999999999" customHeight="1" x14ac:dyDescent="0.2">
      <c r="A10867" s="706" t="s">
        <v>576</v>
      </c>
      <c r="B10867" s="707"/>
      <c r="C10867" s="708" t="s">
        <v>0</v>
      </c>
      <c r="D10867" s="708" t="s">
        <v>1867</v>
      </c>
      <c r="E10867" s="710" t="s">
        <v>24</v>
      </c>
      <c r="F10867" s="712" t="s">
        <v>25</v>
      </c>
      <c r="G10867" s="714" t="s">
        <v>26</v>
      </c>
    </row>
    <row r="10868" spans="1:7" ht="19.899999999999999" customHeight="1" x14ac:dyDescent="0.2">
      <c r="A10868" s="491" t="s">
        <v>577</v>
      </c>
      <c r="B10868" s="491" t="s">
        <v>578</v>
      </c>
      <c r="C10868" s="709"/>
      <c r="D10868" s="709"/>
      <c r="E10868" s="711"/>
      <c r="F10868" s="713"/>
      <c r="G10868" s="715"/>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1016</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1833</v>
      </c>
      <c r="E10873" s="586"/>
      <c r="F10873" s="587" t="str">
        <f ca="1">"$/"&amp;G10807</f>
        <v>$/0</v>
      </c>
      <c r="G10873" s="537">
        <f>SUBTOTAL(9,G10830:G10872)</f>
        <v>0</v>
      </c>
    </row>
    <row r="10874" spans="1:7" ht="19.899999999999999" customHeight="1" x14ac:dyDescent="0.2">
      <c r="A10874" s="533"/>
      <c r="B10874" s="534"/>
      <c r="C10874" s="535"/>
      <c r="D10874" s="535" t="s">
        <v>2043</v>
      </c>
      <c r="E10874" s="536"/>
      <c r="F10874" s="589" t="str">
        <f ca="1">"$/"&amp;G10807</f>
        <v>$/0</v>
      </c>
      <c r="G10874" s="537">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16" t="s">
        <v>31</v>
      </c>
      <c r="B10876" s="717"/>
      <c r="C10876" s="717"/>
      <c r="D10876" s="717"/>
      <c r="E10876" s="717"/>
      <c r="F10876" s="717"/>
      <c r="G10876" s="718"/>
    </row>
    <row r="10877" spans="1:7" ht="19.899999999999999" customHeight="1" x14ac:dyDescent="0.2">
      <c r="A10877" s="516" t="s">
        <v>711</v>
      </c>
      <c r="B10877" s="467" t="str">
        <f>Comitente</f>
        <v>DIRECCIÓN PROVINCIAL DE VIALIDAD</v>
      </c>
      <c r="C10877" s="468"/>
      <c r="D10877" s="469"/>
      <c r="E10877" s="469"/>
      <c r="F10877" s="470"/>
      <c r="G10877" s="517"/>
    </row>
    <row r="10878" spans="1:7" ht="19.899999999999999" customHeight="1" x14ac:dyDescent="0.2">
      <c r="A10878" s="516" t="s">
        <v>712</v>
      </c>
      <c r="B10878" s="467">
        <f>Contratista</f>
        <v>0</v>
      </c>
      <c r="C10878" s="471"/>
      <c r="D10878" s="471"/>
      <c r="E10878" s="471"/>
      <c r="F10878" s="467"/>
      <c r="G10878" s="518"/>
    </row>
    <row r="10879" spans="1:7" ht="19.899999999999999" customHeight="1" x14ac:dyDescent="0.2">
      <c r="A10879" s="516" t="s">
        <v>21</v>
      </c>
      <c r="B10879" s="467" t="str">
        <f>Obra</f>
        <v>OBRA BÁSICA Y PAVIMENTACIÓN CALLE GÜEMES</v>
      </c>
      <c r="C10879" s="471"/>
      <c r="D10879" s="471"/>
      <c r="E10879" s="471"/>
      <c r="F10879" s="467" t="s">
        <v>32</v>
      </c>
      <c r="G10879" s="518">
        <f>Fecha_Base</f>
        <v>0</v>
      </c>
    </row>
    <row r="10880" spans="1:7" ht="19.899999999999999" customHeight="1" x14ac:dyDescent="0.2">
      <c r="A10880" s="519" t="s">
        <v>710</v>
      </c>
      <c r="B10880" s="472" t="str">
        <f>Ubicación</f>
        <v>Rawson - Santa Lucia</v>
      </c>
      <c r="C10880" s="472"/>
      <c r="D10880" s="473"/>
      <c r="E10880" s="474"/>
      <c r="F10880" s="475"/>
      <c r="G10880" s="520"/>
    </row>
    <row r="10881" spans="1:7" ht="19.899999999999999" customHeight="1" x14ac:dyDescent="0.2">
      <c r="A10881" s="519" t="s">
        <v>33</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22</v>
      </c>
      <c r="B10882" s="477" t="str">
        <f>IFERROR(VLOOKUP(COUNTIF($A$1:A10882,"ANALISIS DE PRECIOS"),T_NumeroItem,2,FALSE),"")</f>
        <v/>
      </c>
      <c r="C10882" s="719">
        <f ca="1">IFERROR(VLOOKUP(B10882,T_Computo_Presupuesto,2,FALSE),0)</f>
        <v>0</v>
      </c>
      <c r="D10882" s="719"/>
      <c r="E10882" s="719"/>
      <c r="F10882" s="472" t="s">
        <v>23</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999</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1000</v>
      </c>
      <c r="D10886" s="482" t="s">
        <v>24</v>
      </c>
      <c r="E10886" s="482" t="s">
        <v>1001</v>
      </c>
      <c r="F10886" s="482" t="s">
        <v>1002</v>
      </c>
      <c r="G10886" s="481" t="s">
        <v>1003</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1004</v>
      </c>
      <c r="D10898" s="472" t="s">
        <v>1001</v>
      </c>
      <c r="E10898" s="538">
        <f>SUMPRODUCT(D10887:D10896,E10887:E10896)</f>
        <v>0</v>
      </c>
      <c r="F10898" s="472" t="s">
        <v>1005</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1006</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06" t="s">
        <v>576</v>
      </c>
      <c r="B10902" s="707"/>
      <c r="C10902" s="708" t="s">
        <v>0</v>
      </c>
      <c r="D10902" s="720" t="s">
        <v>1866</v>
      </c>
      <c r="E10902" s="720" t="s">
        <v>1865</v>
      </c>
      <c r="F10902" s="712" t="s">
        <v>1007</v>
      </c>
      <c r="G10902" s="714" t="s">
        <v>26</v>
      </c>
    </row>
    <row r="10903" spans="1:7" ht="19.899999999999999" customHeight="1" x14ac:dyDescent="0.2">
      <c r="A10903" s="491" t="s">
        <v>577</v>
      </c>
      <c r="B10903" s="491" t="s">
        <v>578</v>
      </c>
      <c r="C10903" s="709"/>
      <c r="D10903" s="721"/>
      <c r="E10903" s="711"/>
      <c r="F10903" s="713"/>
      <c r="G10903" s="715"/>
    </row>
    <row r="10904" spans="1:7" ht="19.899999999999999" customHeight="1" x14ac:dyDescent="0.2">
      <c r="A10904" s="527"/>
      <c r="B10904" s="175"/>
      <c r="C10904" s="469" t="s">
        <v>1008</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27</v>
      </c>
      <c r="G10914" s="531">
        <f>SUBTOTAL(9,G10905:G10913)</f>
        <v>0</v>
      </c>
    </row>
    <row r="10915" spans="1:7" ht="19.899999999999999" customHeight="1" x14ac:dyDescent="0.2">
      <c r="A10915" s="527"/>
      <c r="B10915" s="175"/>
      <c r="C10915" s="469" t="s">
        <v>713</v>
      </c>
      <c r="D10915" s="473"/>
      <c r="E10915" s="474"/>
      <c r="F10915" s="475"/>
      <c r="G10915" s="528"/>
    </row>
    <row r="10916" spans="1:7" ht="19.899999999999999" customHeight="1" x14ac:dyDescent="0.2">
      <c r="A10916" s="706" t="s">
        <v>576</v>
      </c>
      <c r="B10916" s="707"/>
      <c r="C10916" s="708" t="s">
        <v>0</v>
      </c>
      <c r="D10916" s="710" t="s">
        <v>24</v>
      </c>
      <c r="E10916" s="710" t="s">
        <v>1832</v>
      </c>
      <c r="F10916" s="712" t="s">
        <v>1007</v>
      </c>
      <c r="G10916" s="714" t="s">
        <v>26</v>
      </c>
    </row>
    <row r="10917" spans="1:7" ht="19.899999999999999" customHeight="1" x14ac:dyDescent="0.2">
      <c r="A10917" s="491" t="s">
        <v>577</v>
      </c>
      <c r="B10917" s="491" t="s">
        <v>578</v>
      </c>
      <c r="C10917" s="709"/>
      <c r="D10917" s="711"/>
      <c r="E10917" s="711"/>
      <c r="F10917" s="713"/>
      <c r="G10917" s="715"/>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28</v>
      </c>
      <c r="G10925" s="532">
        <f>SUBTOTAL(9,G10918:G10924)</f>
        <v>0</v>
      </c>
    </row>
    <row r="10926" spans="1:7" ht="19.899999999999999" customHeight="1" x14ac:dyDescent="0.2">
      <c r="A10926" s="527"/>
      <c r="B10926" s="175"/>
      <c r="C10926" s="469" t="s">
        <v>1014</v>
      </c>
      <c r="D10926" s="473"/>
      <c r="E10926" s="474"/>
      <c r="F10926" s="475"/>
      <c r="G10926" s="528"/>
    </row>
    <row r="10927" spans="1:7" ht="19.899999999999999" customHeight="1" x14ac:dyDescent="0.2">
      <c r="A10927" s="706" t="s">
        <v>576</v>
      </c>
      <c r="B10927" s="707"/>
      <c r="C10927" s="708" t="s">
        <v>0</v>
      </c>
      <c r="D10927" s="708" t="s">
        <v>1867</v>
      </c>
      <c r="E10927" s="710" t="s">
        <v>24</v>
      </c>
      <c r="F10927" s="712" t="s">
        <v>25</v>
      </c>
      <c r="G10927" s="714" t="s">
        <v>26</v>
      </c>
    </row>
    <row r="10928" spans="1:7" ht="19.899999999999999" customHeight="1" x14ac:dyDescent="0.2">
      <c r="A10928" s="491" t="s">
        <v>577</v>
      </c>
      <c r="B10928" s="491" t="s">
        <v>578</v>
      </c>
      <c r="C10928" s="709"/>
      <c r="D10928" s="709"/>
      <c r="E10928" s="711"/>
      <c r="F10928" s="713"/>
      <c r="G10928" s="715"/>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29</v>
      </c>
      <c r="G10940" s="532">
        <f>SUBTOTAL(9,G10929:G10939)</f>
        <v>0</v>
      </c>
    </row>
    <row r="10941" spans="1:7" ht="19.899999999999999" customHeight="1" x14ac:dyDescent="0.2">
      <c r="A10941" s="527"/>
      <c r="B10941" s="175"/>
      <c r="C10941" s="469" t="s">
        <v>1015</v>
      </c>
      <c r="D10941" s="473"/>
      <c r="E10941" s="474"/>
      <c r="F10941" s="475"/>
      <c r="G10941" s="528"/>
    </row>
    <row r="10942" spans="1:7" ht="19.899999999999999" customHeight="1" x14ac:dyDescent="0.2">
      <c r="A10942" s="706" t="s">
        <v>576</v>
      </c>
      <c r="B10942" s="707"/>
      <c r="C10942" s="708" t="s">
        <v>0</v>
      </c>
      <c r="D10942" s="708" t="s">
        <v>1867</v>
      </c>
      <c r="E10942" s="710" t="s">
        <v>24</v>
      </c>
      <c r="F10942" s="712" t="s">
        <v>25</v>
      </c>
      <c r="G10942" s="714" t="s">
        <v>26</v>
      </c>
    </row>
    <row r="10943" spans="1:7" ht="19.899999999999999" customHeight="1" x14ac:dyDescent="0.2">
      <c r="A10943" s="491" t="s">
        <v>577</v>
      </c>
      <c r="B10943" s="491" t="s">
        <v>578</v>
      </c>
      <c r="C10943" s="709"/>
      <c r="D10943" s="709"/>
      <c r="E10943" s="711"/>
      <c r="F10943" s="713"/>
      <c r="G10943" s="715"/>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1016</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1833</v>
      </c>
      <c r="E10948" s="586"/>
      <c r="F10948" s="587" t="str">
        <f ca="1">"$/"&amp;G10882</f>
        <v>$/0</v>
      </c>
      <c r="G10948" s="537">
        <f>SUBTOTAL(9,G10905:G10947)</f>
        <v>0</v>
      </c>
    </row>
    <row r="10949" spans="1:7" ht="19.899999999999999" customHeight="1" x14ac:dyDescent="0.2">
      <c r="A10949" s="533"/>
      <c r="B10949" s="534"/>
      <c r="C10949" s="535"/>
      <c r="D10949" s="535" t="s">
        <v>2043</v>
      </c>
      <c r="E10949" s="536"/>
      <c r="F10949" s="589" t="str">
        <f ca="1">"$/"&amp;G10882</f>
        <v>$/0</v>
      </c>
      <c r="G10949" s="537">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16" t="s">
        <v>31</v>
      </c>
      <c r="B10951" s="717"/>
      <c r="C10951" s="717"/>
      <c r="D10951" s="717"/>
      <c r="E10951" s="717"/>
      <c r="F10951" s="717"/>
      <c r="G10951" s="718"/>
    </row>
    <row r="10952" spans="1:7" ht="19.899999999999999" customHeight="1" x14ac:dyDescent="0.2">
      <c r="A10952" s="516" t="s">
        <v>711</v>
      </c>
      <c r="B10952" s="467" t="str">
        <f>Comitente</f>
        <v>DIRECCIÓN PROVINCIAL DE VIALIDAD</v>
      </c>
      <c r="C10952" s="468"/>
      <c r="D10952" s="469"/>
      <c r="E10952" s="469"/>
      <c r="F10952" s="470"/>
      <c r="G10952" s="517"/>
    </row>
    <row r="10953" spans="1:7" ht="19.899999999999999" customHeight="1" x14ac:dyDescent="0.2">
      <c r="A10953" s="516" t="s">
        <v>712</v>
      </c>
      <c r="B10953" s="467">
        <f>Contratista</f>
        <v>0</v>
      </c>
      <c r="C10953" s="471"/>
      <c r="D10953" s="471"/>
      <c r="E10953" s="471"/>
      <c r="F10953" s="467"/>
      <c r="G10953" s="518"/>
    </row>
    <row r="10954" spans="1:7" ht="19.899999999999999" customHeight="1" x14ac:dyDescent="0.2">
      <c r="A10954" s="516" t="s">
        <v>21</v>
      </c>
      <c r="B10954" s="467" t="str">
        <f>Obra</f>
        <v>OBRA BÁSICA Y PAVIMENTACIÓN CALLE GÜEMES</v>
      </c>
      <c r="C10954" s="471"/>
      <c r="D10954" s="471"/>
      <c r="E10954" s="471"/>
      <c r="F10954" s="467" t="s">
        <v>32</v>
      </c>
      <c r="G10954" s="518">
        <f>Fecha_Base</f>
        <v>0</v>
      </c>
    </row>
    <row r="10955" spans="1:7" ht="19.899999999999999" customHeight="1" x14ac:dyDescent="0.2">
      <c r="A10955" s="519" t="s">
        <v>710</v>
      </c>
      <c r="B10955" s="472" t="str">
        <f>Ubicación</f>
        <v>Rawson - Santa Lucia</v>
      </c>
      <c r="C10955" s="472"/>
      <c r="D10955" s="473"/>
      <c r="E10955" s="474"/>
      <c r="F10955" s="475"/>
      <c r="G10955" s="520"/>
    </row>
    <row r="10956" spans="1:7" ht="19.899999999999999" customHeight="1" x14ac:dyDescent="0.2">
      <c r="A10956" s="519" t="s">
        <v>33</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22</v>
      </c>
      <c r="B10957" s="477" t="str">
        <f>IFERROR(VLOOKUP(COUNTIF($A$1:A10957,"ANALISIS DE PRECIOS"),T_NumeroItem,2,FALSE),"")</f>
        <v/>
      </c>
      <c r="C10957" s="719">
        <f ca="1">IFERROR(VLOOKUP(B10957,T_Computo_Presupuesto,2,FALSE),0)</f>
        <v>0</v>
      </c>
      <c r="D10957" s="719"/>
      <c r="E10957" s="719"/>
      <c r="F10957" s="472" t="s">
        <v>23</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999</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1000</v>
      </c>
      <c r="D10961" s="482" t="s">
        <v>24</v>
      </c>
      <c r="E10961" s="482" t="s">
        <v>1001</v>
      </c>
      <c r="F10961" s="482" t="s">
        <v>1002</v>
      </c>
      <c r="G10961" s="481" t="s">
        <v>1003</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1004</v>
      </c>
      <c r="D10973" s="472" t="s">
        <v>1001</v>
      </c>
      <c r="E10973" s="538">
        <f>SUMPRODUCT(D10962:D10971,E10962:E10971)</f>
        <v>0</v>
      </c>
      <c r="F10973" s="472" t="s">
        <v>1005</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1006</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06" t="s">
        <v>576</v>
      </c>
      <c r="B10977" s="707"/>
      <c r="C10977" s="708" t="s">
        <v>0</v>
      </c>
      <c r="D10977" s="720" t="s">
        <v>1866</v>
      </c>
      <c r="E10977" s="720" t="s">
        <v>1865</v>
      </c>
      <c r="F10977" s="712" t="s">
        <v>1007</v>
      </c>
      <c r="G10977" s="714" t="s">
        <v>26</v>
      </c>
    </row>
    <row r="10978" spans="1:7" ht="19.899999999999999" customHeight="1" x14ac:dyDescent="0.2">
      <c r="A10978" s="491" t="s">
        <v>577</v>
      </c>
      <c r="B10978" s="491" t="s">
        <v>578</v>
      </c>
      <c r="C10978" s="709"/>
      <c r="D10978" s="721"/>
      <c r="E10978" s="711"/>
      <c r="F10978" s="713"/>
      <c r="G10978" s="715"/>
    </row>
    <row r="10979" spans="1:7" ht="19.899999999999999" customHeight="1" x14ac:dyDescent="0.2">
      <c r="A10979" s="527"/>
      <c r="B10979" s="175"/>
      <c r="C10979" s="469" t="s">
        <v>1008</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27</v>
      </c>
      <c r="G10989" s="531">
        <f>SUBTOTAL(9,G10980:G10988)</f>
        <v>0</v>
      </c>
    </row>
    <row r="10990" spans="1:7" ht="19.899999999999999" customHeight="1" x14ac:dyDescent="0.2">
      <c r="A10990" s="527"/>
      <c r="B10990" s="175"/>
      <c r="C10990" s="469" t="s">
        <v>713</v>
      </c>
      <c r="D10990" s="473"/>
      <c r="E10990" s="474"/>
      <c r="F10990" s="475"/>
      <c r="G10990" s="528"/>
    </row>
    <row r="10991" spans="1:7" ht="19.899999999999999" customHeight="1" x14ac:dyDescent="0.2">
      <c r="A10991" s="706" t="s">
        <v>576</v>
      </c>
      <c r="B10991" s="707"/>
      <c r="C10991" s="708" t="s">
        <v>0</v>
      </c>
      <c r="D10991" s="710" t="s">
        <v>24</v>
      </c>
      <c r="E10991" s="710" t="s">
        <v>1832</v>
      </c>
      <c r="F10991" s="712" t="s">
        <v>1007</v>
      </c>
      <c r="G10991" s="714" t="s">
        <v>26</v>
      </c>
    </row>
    <row r="10992" spans="1:7" ht="19.899999999999999" customHeight="1" x14ac:dyDescent="0.2">
      <c r="A10992" s="491" t="s">
        <v>577</v>
      </c>
      <c r="B10992" s="491" t="s">
        <v>578</v>
      </c>
      <c r="C10992" s="709"/>
      <c r="D10992" s="711"/>
      <c r="E10992" s="711"/>
      <c r="F10992" s="713"/>
      <c r="G10992" s="715"/>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28</v>
      </c>
      <c r="G11000" s="532">
        <f>SUBTOTAL(9,G10993:G10999)</f>
        <v>0</v>
      </c>
    </row>
    <row r="11001" spans="1:7" ht="19.899999999999999" customHeight="1" x14ac:dyDescent="0.2">
      <c r="A11001" s="527"/>
      <c r="B11001" s="175"/>
      <c r="C11001" s="469" t="s">
        <v>1014</v>
      </c>
      <c r="D11001" s="473"/>
      <c r="E11001" s="474"/>
      <c r="F11001" s="475"/>
      <c r="G11001" s="528"/>
    </row>
    <row r="11002" spans="1:7" ht="19.899999999999999" customHeight="1" x14ac:dyDescent="0.2">
      <c r="A11002" s="706" t="s">
        <v>576</v>
      </c>
      <c r="B11002" s="707"/>
      <c r="C11002" s="708" t="s">
        <v>0</v>
      </c>
      <c r="D11002" s="708" t="s">
        <v>1867</v>
      </c>
      <c r="E11002" s="710" t="s">
        <v>24</v>
      </c>
      <c r="F11002" s="712" t="s">
        <v>25</v>
      </c>
      <c r="G11002" s="714" t="s">
        <v>26</v>
      </c>
    </row>
    <row r="11003" spans="1:7" ht="19.899999999999999" customHeight="1" x14ac:dyDescent="0.2">
      <c r="A11003" s="491" t="s">
        <v>577</v>
      </c>
      <c r="B11003" s="491" t="s">
        <v>578</v>
      </c>
      <c r="C11003" s="709"/>
      <c r="D11003" s="709"/>
      <c r="E11003" s="711"/>
      <c r="F11003" s="713"/>
      <c r="G11003" s="715"/>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29</v>
      </c>
      <c r="G11015" s="532">
        <f>SUBTOTAL(9,G11004:G11014)</f>
        <v>0</v>
      </c>
    </row>
    <row r="11016" spans="1:7" ht="19.899999999999999" customHeight="1" x14ac:dyDescent="0.2">
      <c r="A11016" s="527"/>
      <c r="B11016" s="175"/>
      <c r="C11016" s="469" t="s">
        <v>1015</v>
      </c>
      <c r="D11016" s="473"/>
      <c r="E11016" s="474"/>
      <c r="F11016" s="475"/>
      <c r="G11016" s="528"/>
    </row>
    <row r="11017" spans="1:7" ht="19.899999999999999" customHeight="1" x14ac:dyDescent="0.2">
      <c r="A11017" s="706" t="s">
        <v>576</v>
      </c>
      <c r="B11017" s="707"/>
      <c r="C11017" s="708" t="s">
        <v>0</v>
      </c>
      <c r="D11017" s="708" t="s">
        <v>1867</v>
      </c>
      <c r="E11017" s="710" t="s">
        <v>24</v>
      </c>
      <c r="F11017" s="712" t="s">
        <v>25</v>
      </c>
      <c r="G11017" s="714" t="s">
        <v>26</v>
      </c>
    </row>
    <row r="11018" spans="1:7" ht="19.899999999999999" customHeight="1" x14ac:dyDescent="0.2">
      <c r="A11018" s="491" t="s">
        <v>577</v>
      </c>
      <c r="B11018" s="491" t="s">
        <v>578</v>
      </c>
      <c r="C11018" s="709"/>
      <c r="D11018" s="709"/>
      <c r="E11018" s="711"/>
      <c r="F11018" s="713"/>
      <c r="G11018" s="715"/>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1016</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1833</v>
      </c>
      <c r="E11023" s="586"/>
      <c r="F11023" s="587" t="str">
        <f ca="1">"$/"&amp;G10957</f>
        <v>$/0</v>
      </c>
      <c r="G11023" s="537">
        <f>SUBTOTAL(9,G10980:G11022)</f>
        <v>0</v>
      </c>
    </row>
    <row r="11024" spans="1:7" ht="19.899999999999999" customHeight="1" x14ac:dyDescent="0.2">
      <c r="A11024" s="533"/>
      <c r="B11024" s="534"/>
      <c r="C11024" s="535"/>
      <c r="D11024" s="535" t="s">
        <v>2043</v>
      </c>
      <c r="E11024" s="536"/>
      <c r="F11024" s="589" t="str">
        <f ca="1">"$/"&amp;G10957</f>
        <v>$/0</v>
      </c>
      <c r="G11024" s="537">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16" t="s">
        <v>31</v>
      </c>
      <c r="B11026" s="717"/>
      <c r="C11026" s="717"/>
      <c r="D11026" s="717"/>
      <c r="E11026" s="717"/>
      <c r="F11026" s="717"/>
      <c r="G11026" s="718"/>
    </row>
    <row r="11027" spans="1:7" ht="19.899999999999999" customHeight="1" x14ac:dyDescent="0.2">
      <c r="A11027" s="516" t="s">
        <v>711</v>
      </c>
      <c r="B11027" s="467" t="str">
        <f>Comitente</f>
        <v>DIRECCIÓN PROVINCIAL DE VIALIDAD</v>
      </c>
      <c r="C11027" s="468"/>
      <c r="D11027" s="469"/>
      <c r="E11027" s="469"/>
      <c r="F11027" s="470"/>
      <c r="G11027" s="517"/>
    </row>
    <row r="11028" spans="1:7" ht="19.899999999999999" customHeight="1" x14ac:dyDescent="0.2">
      <c r="A11028" s="516" t="s">
        <v>712</v>
      </c>
      <c r="B11028" s="467">
        <f>Contratista</f>
        <v>0</v>
      </c>
      <c r="C11028" s="471"/>
      <c r="D11028" s="471"/>
      <c r="E11028" s="471"/>
      <c r="F11028" s="467"/>
      <c r="G11028" s="518"/>
    </row>
    <row r="11029" spans="1:7" ht="19.899999999999999" customHeight="1" x14ac:dyDescent="0.2">
      <c r="A11029" s="516" t="s">
        <v>21</v>
      </c>
      <c r="B11029" s="467" t="str">
        <f>Obra</f>
        <v>OBRA BÁSICA Y PAVIMENTACIÓN CALLE GÜEMES</v>
      </c>
      <c r="C11029" s="471"/>
      <c r="D11029" s="471"/>
      <c r="E11029" s="471"/>
      <c r="F11029" s="467" t="s">
        <v>32</v>
      </c>
      <c r="G11029" s="518">
        <f>Fecha_Base</f>
        <v>0</v>
      </c>
    </row>
    <row r="11030" spans="1:7" ht="19.899999999999999" customHeight="1" x14ac:dyDescent="0.2">
      <c r="A11030" s="519" t="s">
        <v>710</v>
      </c>
      <c r="B11030" s="472" t="str">
        <f>Ubicación</f>
        <v>Rawson - Santa Lucia</v>
      </c>
      <c r="C11030" s="472"/>
      <c r="D11030" s="473"/>
      <c r="E11030" s="474"/>
      <c r="F11030" s="475"/>
      <c r="G11030" s="520"/>
    </row>
    <row r="11031" spans="1:7" ht="19.899999999999999" customHeight="1" x14ac:dyDescent="0.2">
      <c r="A11031" s="519" t="s">
        <v>33</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22</v>
      </c>
      <c r="B11032" s="477" t="str">
        <f>IFERROR(VLOOKUP(COUNTIF($A$1:A11032,"ANALISIS DE PRECIOS"),T_NumeroItem,2,FALSE),"")</f>
        <v/>
      </c>
      <c r="C11032" s="719">
        <f ca="1">IFERROR(VLOOKUP(B11032,T_Computo_Presupuesto,2,FALSE),0)</f>
        <v>0</v>
      </c>
      <c r="D11032" s="719"/>
      <c r="E11032" s="719"/>
      <c r="F11032" s="472" t="s">
        <v>23</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999</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1000</v>
      </c>
      <c r="D11036" s="482" t="s">
        <v>24</v>
      </c>
      <c r="E11036" s="482" t="s">
        <v>1001</v>
      </c>
      <c r="F11036" s="482" t="s">
        <v>1002</v>
      </c>
      <c r="G11036" s="481" t="s">
        <v>1003</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1004</v>
      </c>
      <c r="D11048" s="472" t="s">
        <v>1001</v>
      </c>
      <c r="E11048" s="538">
        <f>SUMPRODUCT(D11037:D11046,E11037:E11046)</f>
        <v>0</v>
      </c>
      <c r="F11048" s="472" t="s">
        <v>1005</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1006</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06" t="s">
        <v>576</v>
      </c>
      <c r="B11052" s="707"/>
      <c r="C11052" s="708" t="s">
        <v>0</v>
      </c>
      <c r="D11052" s="720" t="s">
        <v>1866</v>
      </c>
      <c r="E11052" s="720" t="s">
        <v>1865</v>
      </c>
      <c r="F11052" s="712" t="s">
        <v>1007</v>
      </c>
      <c r="G11052" s="714" t="s">
        <v>26</v>
      </c>
    </row>
    <row r="11053" spans="1:7" ht="19.899999999999999" customHeight="1" x14ac:dyDescent="0.2">
      <c r="A11053" s="491" t="s">
        <v>577</v>
      </c>
      <c r="B11053" s="491" t="s">
        <v>578</v>
      </c>
      <c r="C11053" s="709"/>
      <c r="D11053" s="721"/>
      <c r="E11053" s="711"/>
      <c r="F11053" s="713"/>
      <c r="G11053" s="715"/>
    </row>
    <row r="11054" spans="1:7" ht="19.899999999999999" customHeight="1" x14ac:dyDescent="0.2">
      <c r="A11054" s="527"/>
      <c r="B11054" s="175"/>
      <c r="C11054" s="469" t="s">
        <v>1008</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27</v>
      </c>
      <c r="G11064" s="531">
        <f>SUBTOTAL(9,G11055:G11063)</f>
        <v>0</v>
      </c>
    </row>
    <row r="11065" spans="1:7" ht="19.899999999999999" customHeight="1" x14ac:dyDescent="0.2">
      <c r="A11065" s="527"/>
      <c r="B11065" s="175"/>
      <c r="C11065" s="469" t="s">
        <v>713</v>
      </c>
      <c r="D11065" s="473"/>
      <c r="E11065" s="474"/>
      <c r="F11065" s="475"/>
      <c r="G11065" s="528"/>
    </row>
    <row r="11066" spans="1:7" ht="19.899999999999999" customHeight="1" x14ac:dyDescent="0.2">
      <c r="A11066" s="706" t="s">
        <v>576</v>
      </c>
      <c r="B11066" s="707"/>
      <c r="C11066" s="708" t="s">
        <v>0</v>
      </c>
      <c r="D11066" s="710" t="s">
        <v>24</v>
      </c>
      <c r="E11066" s="710" t="s">
        <v>1832</v>
      </c>
      <c r="F11066" s="712" t="s">
        <v>1007</v>
      </c>
      <c r="G11066" s="714" t="s">
        <v>26</v>
      </c>
    </row>
    <row r="11067" spans="1:7" ht="19.899999999999999" customHeight="1" x14ac:dyDescent="0.2">
      <c r="A11067" s="491" t="s">
        <v>577</v>
      </c>
      <c r="B11067" s="491" t="s">
        <v>578</v>
      </c>
      <c r="C11067" s="709"/>
      <c r="D11067" s="711"/>
      <c r="E11067" s="711"/>
      <c r="F11067" s="713"/>
      <c r="G11067" s="715"/>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28</v>
      </c>
      <c r="G11075" s="532">
        <f>SUBTOTAL(9,G11068:G11074)</f>
        <v>0</v>
      </c>
    </row>
    <row r="11076" spans="1:7" ht="19.899999999999999" customHeight="1" x14ac:dyDescent="0.2">
      <c r="A11076" s="527"/>
      <c r="B11076" s="175"/>
      <c r="C11076" s="469" t="s">
        <v>1014</v>
      </c>
      <c r="D11076" s="473"/>
      <c r="E11076" s="474"/>
      <c r="F11076" s="475"/>
      <c r="G11076" s="528"/>
    </row>
    <row r="11077" spans="1:7" ht="19.899999999999999" customHeight="1" x14ac:dyDescent="0.2">
      <c r="A11077" s="706" t="s">
        <v>576</v>
      </c>
      <c r="B11077" s="707"/>
      <c r="C11077" s="708" t="s">
        <v>0</v>
      </c>
      <c r="D11077" s="708" t="s">
        <v>1867</v>
      </c>
      <c r="E11077" s="710" t="s">
        <v>24</v>
      </c>
      <c r="F11077" s="712" t="s">
        <v>25</v>
      </c>
      <c r="G11077" s="714" t="s">
        <v>26</v>
      </c>
    </row>
    <row r="11078" spans="1:7" ht="19.899999999999999" customHeight="1" x14ac:dyDescent="0.2">
      <c r="A11078" s="491" t="s">
        <v>577</v>
      </c>
      <c r="B11078" s="491" t="s">
        <v>578</v>
      </c>
      <c r="C11078" s="709"/>
      <c r="D11078" s="709"/>
      <c r="E11078" s="711"/>
      <c r="F11078" s="713"/>
      <c r="G11078" s="715"/>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29</v>
      </c>
      <c r="G11090" s="532">
        <f>SUBTOTAL(9,G11079:G11089)</f>
        <v>0</v>
      </c>
    </row>
    <row r="11091" spans="1:7" ht="19.899999999999999" customHeight="1" x14ac:dyDescent="0.2">
      <c r="A11091" s="527"/>
      <c r="B11091" s="175"/>
      <c r="C11091" s="469" t="s">
        <v>1015</v>
      </c>
      <c r="D11091" s="473"/>
      <c r="E11091" s="474"/>
      <c r="F11091" s="475"/>
      <c r="G11091" s="528"/>
    </row>
    <row r="11092" spans="1:7" ht="19.899999999999999" customHeight="1" x14ac:dyDescent="0.2">
      <c r="A11092" s="706" t="s">
        <v>576</v>
      </c>
      <c r="B11092" s="707"/>
      <c r="C11092" s="708" t="s">
        <v>0</v>
      </c>
      <c r="D11092" s="708" t="s">
        <v>1867</v>
      </c>
      <c r="E11092" s="710" t="s">
        <v>24</v>
      </c>
      <c r="F11092" s="712" t="s">
        <v>25</v>
      </c>
      <c r="G11092" s="714" t="s">
        <v>26</v>
      </c>
    </row>
    <row r="11093" spans="1:7" ht="19.899999999999999" customHeight="1" x14ac:dyDescent="0.2">
      <c r="A11093" s="491" t="s">
        <v>577</v>
      </c>
      <c r="B11093" s="491" t="s">
        <v>578</v>
      </c>
      <c r="C11093" s="709"/>
      <c r="D11093" s="709"/>
      <c r="E11093" s="711"/>
      <c r="F11093" s="713"/>
      <c r="G11093" s="715"/>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1016</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1833</v>
      </c>
      <c r="E11098" s="586"/>
      <c r="F11098" s="587" t="str">
        <f ca="1">"$/"&amp;G11032</f>
        <v>$/0</v>
      </c>
      <c r="G11098" s="537">
        <f>SUBTOTAL(9,G11055:G11097)</f>
        <v>0</v>
      </c>
    </row>
    <row r="11099" spans="1:7" ht="19.899999999999999" customHeight="1" x14ac:dyDescent="0.2">
      <c r="A11099" s="533"/>
      <c r="B11099" s="534"/>
      <c r="C11099" s="535"/>
      <c r="D11099" s="535" t="s">
        <v>2043</v>
      </c>
      <c r="E11099" s="536"/>
      <c r="F11099" s="589" t="str">
        <f ca="1">"$/"&amp;G11032</f>
        <v>$/0</v>
      </c>
      <c r="G11099" s="537">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16" t="s">
        <v>31</v>
      </c>
      <c r="B11101" s="717"/>
      <c r="C11101" s="717"/>
      <c r="D11101" s="717"/>
      <c r="E11101" s="717"/>
      <c r="F11101" s="717"/>
      <c r="G11101" s="718"/>
    </row>
    <row r="11102" spans="1:7" ht="19.899999999999999" customHeight="1" x14ac:dyDescent="0.2">
      <c r="A11102" s="516" t="s">
        <v>711</v>
      </c>
      <c r="B11102" s="467" t="str">
        <f>Comitente</f>
        <v>DIRECCIÓN PROVINCIAL DE VIALIDAD</v>
      </c>
      <c r="C11102" s="468"/>
      <c r="D11102" s="469"/>
      <c r="E11102" s="469"/>
      <c r="F11102" s="470"/>
      <c r="G11102" s="517"/>
    </row>
    <row r="11103" spans="1:7" ht="19.899999999999999" customHeight="1" x14ac:dyDescent="0.2">
      <c r="A11103" s="516" t="s">
        <v>712</v>
      </c>
      <c r="B11103" s="467">
        <f>Contratista</f>
        <v>0</v>
      </c>
      <c r="C11103" s="471"/>
      <c r="D11103" s="471"/>
      <c r="E11103" s="471"/>
      <c r="F11103" s="467"/>
      <c r="G11103" s="518"/>
    </row>
    <row r="11104" spans="1:7" ht="19.899999999999999" customHeight="1" x14ac:dyDescent="0.2">
      <c r="A11104" s="516" t="s">
        <v>21</v>
      </c>
      <c r="B11104" s="467" t="str">
        <f>Obra</f>
        <v>OBRA BÁSICA Y PAVIMENTACIÓN CALLE GÜEMES</v>
      </c>
      <c r="C11104" s="471"/>
      <c r="D11104" s="471"/>
      <c r="E11104" s="471"/>
      <c r="F11104" s="467" t="s">
        <v>32</v>
      </c>
      <c r="G11104" s="518">
        <f>Fecha_Base</f>
        <v>0</v>
      </c>
    </row>
    <row r="11105" spans="1:7" ht="19.899999999999999" customHeight="1" x14ac:dyDescent="0.2">
      <c r="A11105" s="519" t="s">
        <v>710</v>
      </c>
      <c r="B11105" s="472" t="str">
        <f>Ubicación</f>
        <v>Rawson - Santa Lucia</v>
      </c>
      <c r="C11105" s="472"/>
      <c r="D11105" s="473"/>
      <c r="E11105" s="474"/>
      <c r="F11105" s="475"/>
      <c r="G11105" s="520"/>
    </row>
    <row r="11106" spans="1:7" ht="19.899999999999999" customHeight="1" x14ac:dyDescent="0.2">
      <c r="A11106" s="519" t="s">
        <v>33</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22</v>
      </c>
      <c r="B11107" s="477" t="str">
        <f>IFERROR(VLOOKUP(COUNTIF($A$1:A11107,"ANALISIS DE PRECIOS"),T_NumeroItem,2,FALSE),"")</f>
        <v/>
      </c>
      <c r="C11107" s="719">
        <f ca="1">IFERROR(VLOOKUP(B11107,T_Computo_Presupuesto,2,FALSE),0)</f>
        <v>0</v>
      </c>
      <c r="D11107" s="719"/>
      <c r="E11107" s="719"/>
      <c r="F11107" s="472" t="s">
        <v>23</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999</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1000</v>
      </c>
      <c r="D11111" s="482" t="s">
        <v>24</v>
      </c>
      <c r="E11111" s="482" t="s">
        <v>1001</v>
      </c>
      <c r="F11111" s="482" t="s">
        <v>1002</v>
      </c>
      <c r="G11111" s="481" t="s">
        <v>1003</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1004</v>
      </c>
      <c r="D11123" s="472" t="s">
        <v>1001</v>
      </c>
      <c r="E11123" s="538">
        <f>SUMPRODUCT(D11112:D11121,E11112:E11121)</f>
        <v>0</v>
      </c>
      <c r="F11123" s="472" t="s">
        <v>1005</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1006</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06" t="s">
        <v>576</v>
      </c>
      <c r="B11127" s="707"/>
      <c r="C11127" s="708" t="s">
        <v>0</v>
      </c>
      <c r="D11127" s="720" t="s">
        <v>1866</v>
      </c>
      <c r="E11127" s="720" t="s">
        <v>1865</v>
      </c>
      <c r="F11127" s="712" t="s">
        <v>1007</v>
      </c>
      <c r="G11127" s="714" t="s">
        <v>26</v>
      </c>
    </row>
    <row r="11128" spans="1:7" ht="19.899999999999999" customHeight="1" x14ac:dyDescent="0.2">
      <c r="A11128" s="491" t="s">
        <v>577</v>
      </c>
      <c r="B11128" s="491" t="s">
        <v>578</v>
      </c>
      <c r="C11128" s="709"/>
      <c r="D11128" s="721"/>
      <c r="E11128" s="711"/>
      <c r="F11128" s="713"/>
      <c r="G11128" s="715"/>
    </row>
    <row r="11129" spans="1:7" ht="19.899999999999999" customHeight="1" x14ac:dyDescent="0.2">
      <c r="A11129" s="527"/>
      <c r="B11129" s="175"/>
      <c r="C11129" s="469" t="s">
        <v>1008</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27</v>
      </c>
      <c r="G11139" s="531">
        <f>SUBTOTAL(9,G11130:G11138)</f>
        <v>0</v>
      </c>
    </row>
    <row r="11140" spans="1:7" ht="19.899999999999999" customHeight="1" x14ac:dyDescent="0.2">
      <c r="A11140" s="527"/>
      <c r="B11140" s="175"/>
      <c r="C11140" s="469" t="s">
        <v>713</v>
      </c>
      <c r="D11140" s="473"/>
      <c r="E11140" s="474"/>
      <c r="F11140" s="475"/>
      <c r="G11140" s="528"/>
    </row>
    <row r="11141" spans="1:7" ht="19.899999999999999" customHeight="1" x14ac:dyDescent="0.2">
      <c r="A11141" s="706" t="s">
        <v>576</v>
      </c>
      <c r="B11141" s="707"/>
      <c r="C11141" s="708" t="s">
        <v>0</v>
      </c>
      <c r="D11141" s="710" t="s">
        <v>24</v>
      </c>
      <c r="E11141" s="710" t="s">
        <v>1832</v>
      </c>
      <c r="F11141" s="712" t="s">
        <v>1007</v>
      </c>
      <c r="G11141" s="714" t="s">
        <v>26</v>
      </c>
    </row>
    <row r="11142" spans="1:7" ht="19.899999999999999" customHeight="1" x14ac:dyDescent="0.2">
      <c r="A11142" s="491" t="s">
        <v>577</v>
      </c>
      <c r="B11142" s="491" t="s">
        <v>578</v>
      </c>
      <c r="C11142" s="709"/>
      <c r="D11142" s="711"/>
      <c r="E11142" s="711"/>
      <c r="F11142" s="713"/>
      <c r="G11142" s="715"/>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28</v>
      </c>
      <c r="G11150" s="532">
        <f>SUBTOTAL(9,G11143:G11149)</f>
        <v>0</v>
      </c>
    </row>
    <row r="11151" spans="1:7" ht="19.899999999999999" customHeight="1" x14ac:dyDescent="0.2">
      <c r="A11151" s="527"/>
      <c r="B11151" s="175"/>
      <c r="C11151" s="469" t="s">
        <v>1014</v>
      </c>
      <c r="D11151" s="473"/>
      <c r="E11151" s="474"/>
      <c r="F11151" s="475"/>
      <c r="G11151" s="528"/>
    </row>
    <row r="11152" spans="1:7" ht="19.899999999999999" customHeight="1" x14ac:dyDescent="0.2">
      <c r="A11152" s="706" t="s">
        <v>576</v>
      </c>
      <c r="B11152" s="707"/>
      <c r="C11152" s="708" t="s">
        <v>0</v>
      </c>
      <c r="D11152" s="708" t="s">
        <v>1867</v>
      </c>
      <c r="E11152" s="710" t="s">
        <v>24</v>
      </c>
      <c r="F11152" s="712" t="s">
        <v>25</v>
      </c>
      <c r="G11152" s="714" t="s">
        <v>26</v>
      </c>
    </row>
    <row r="11153" spans="1:7" ht="19.899999999999999" customHeight="1" x14ac:dyDescent="0.2">
      <c r="A11153" s="491" t="s">
        <v>577</v>
      </c>
      <c r="B11153" s="491" t="s">
        <v>578</v>
      </c>
      <c r="C11153" s="709"/>
      <c r="D11153" s="709"/>
      <c r="E11153" s="711"/>
      <c r="F11153" s="713"/>
      <c r="G11153" s="715"/>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29</v>
      </c>
      <c r="G11165" s="532">
        <f>SUBTOTAL(9,G11154:G11164)</f>
        <v>0</v>
      </c>
    </row>
    <row r="11166" spans="1:7" ht="19.899999999999999" customHeight="1" x14ac:dyDescent="0.2">
      <c r="A11166" s="527"/>
      <c r="B11166" s="175"/>
      <c r="C11166" s="469" t="s">
        <v>1015</v>
      </c>
      <c r="D11166" s="473"/>
      <c r="E11166" s="474"/>
      <c r="F11166" s="475"/>
      <c r="G11166" s="528"/>
    </row>
    <row r="11167" spans="1:7" ht="19.899999999999999" customHeight="1" x14ac:dyDescent="0.2">
      <c r="A11167" s="706" t="s">
        <v>576</v>
      </c>
      <c r="B11167" s="707"/>
      <c r="C11167" s="708" t="s">
        <v>0</v>
      </c>
      <c r="D11167" s="708" t="s">
        <v>1867</v>
      </c>
      <c r="E11167" s="710" t="s">
        <v>24</v>
      </c>
      <c r="F11167" s="712" t="s">
        <v>25</v>
      </c>
      <c r="G11167" s="714" t="s">
        <v>26</v>
      </c>
    </row>
    <row r="11168" spans="1:7" ht="19.899999999999999" customHeight="1" x14ac:dyDescent="0.2">
      <c r="A11168" s="491" t="s">
        <v>577</v>
      </c>
      <c r="B11168" s="491" t="s">
        <v>578</v>
      </c>
      <c r="C11168" s="709"/>
      <c r="D11168" s="709"/>
      <c r="E11168" s="711"/>
      <c r="F11168" s="713"/>
      <c r="G11168" s="715"/>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1016</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1833</v>
      </c>
      <c r="E11173" s="586"/>
      <c r="F11173" s="587" t="str">
        <f ca="1">"$/"&amp;G11107</f>
        <v>$/0</v>
      </c>
      <c r="G11173" s="537">
        <f>SUBTOTAL(9,G11130:G11172)</f>
        <v>0</v>
      </c>
    </row>
    <row r="11174" spans="1:7" ht="19.899999999999999" customHeight="1" x14ac:dyDescent="0.2">
      <c r="A11174" s="533"/>
      <c r="B11174" s="534"/>
      <c r="C11174" s="535"/>
      <c r="D11174" s="535" t="s">
        <v>2043</v>
      </c>
      <c r="E11174" s="536"/>
      <c r="F11174" s="589" t="str">
        <f ca="1">"$/"&amp;G11107</f>
        <v>$/0</v>
      </c>
      <c r="G11174" s="537">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16" t="s">
        <v>31</v>
      </c>
      <c r="B11176" s="717"/>
      <c r="C11176" s="717"/>
      <c r="D11176" s="717"/>
      <c r="E11176" s="717"/>
      <c r="F11176" s="717"/>
      <c r="G11176" s="718"/>
    </row>
    <row r="11177" spans="1:7" ht="19.899999999999999" customHeight="1" x14ac:dyDescent="0.2">
      <c r="A11177" s="516" t="s">
        <v>711</v>
      </c>
      <c r="B11177" s="467" t="str">
        <f>Comitente</f>
        <v>DIRECCIÓN PROVINCIAL DE VIALIDAD</v>
      </c>
      <c r="C11177" s="468"/>
      <c r="D11177" s="469"/>
      <c r="E11177" s="469"/>
      <c r="F11177" s="470"/>
      <c r="G11177" s="517"/>
    </row>
    <row r="11178" spans="1:7" ht="19.899999999999999" customHeight="1" x14ac:dyDescent="0.2">
      <c r="A11178" s="516" t="s">
        <v>712</v>
      </c>
      <c r="B11178" s="467">
        <f>Contratista</f>
        <v>0</v>
      </c>
      <c r="C11178" s="471"/>
      <c r="D11178" s="471"/>
      <c r="E11178" s="471"/>
      <c r="F11178" s="467"/>
      <c r="G11178" s="518"/>
    </row>
    <row r="11179" spans="1:7" ht="19.899999999999999" customHeight="1" x14ac:dyDescent="0.2">
      <c r="A11179" s="516" t="s">
        <v>21</v>
      </c>
      <c r="B11179" s="467" t="str">
        <f>Obra</f>
        <v>OBRA BÁSICA Y PAVIMENTACIÓN CALLE GÜEMES</v>
      </c>
      <c r="C11179" s="471"/>
      <c r="D11179" s="471"/>
      <c r="E11179" s="471"/>
      <c r="F11179" s="467" t="s">
        <v>32</v>
      </c>
      <c r="G11179" s="518">
        <f>Fecha_Base</f>
        <v>0</v>
      </c>
    </row>
    <row r="11180" spans="1:7" ht="19.899999999999999" customHeight="1" x14ac:dyDescent="0.2">
      <c r="A11180" s="519" t="s">
        <v>710</v>
      </c>
      <c r="B11180" s="472" t="str">
        <f>Ubicación</f>
        <v>Rawson - Santa Lucia</v>
      </c>
      <c r="C11180" s="472"/>
      <c r="D11180" s="473"/>
      <c r="E11180" s="474"/>
      <c r="F11180" s="475"/>
      <c r="G11180" s="520"/>
    </row>
    <row r="11181" spans="1:7" ht="19.899999999999999" customHeight="1" x14ac:dyDescent="0.2">
      <c r="A11181" s="519" t="s">
        <v>33</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22</v>
      </c>
      <c r="B11182" s="477" t="str">
        <f>IFERROR(VLOOKUP(COUNTIF($A$1:A11182,"ANALISIS DE PRECIOS"),T_NumeroItem,2,FALSE),"")</f>
        <v/>
      </c>
      <c r="C11182" s="719">
        <f ca="1">IFERROR(VLOOKUP(B11182,T_Computo_Presupuesto,2,FALSE),0)</f>
        <v>0</v>
      </c>
      <c r="D11182" s="719"/>
      <c r="E11182" s="719"/>
      <c r="F11182" s="472" t="s">
        <v>23</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999</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1000</v>
      </c>
      <c r="D11186" s="482" t="s">
        <v>24</v>
      </c>
      <c r="E11186" s="482" t="s">
        <v>1001</v>
      </c>
      <c r="F11186" s="482" t="s">
        <v>1002</v>
      </c>
      <c r="G11186" s="481" t="s">
        <v>1003</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1004</v>
      </c>
      <c r="D11198" s="472" t="s">
        <v>1001</v>
      </c>
      <c r="E11198" s="538">
        <f>SUMPRODUCT(D11187:D11196,E11187:E11196)</f>
        <v>0</v>
      </c>
      <c r="F11198" s="472" t="s">
        <v>1005</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1006</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06" t="s">
        <v>576</v>
      </c>
      <c r="B11202" s="707"/>
      <c r="C11202" s="708" t="s">
        <v>0</v>
      </c>
      <c r="D11202" s="720" t="s">
        <v>1866</v>
      </c>
      <c r="E11202" s="720" t="s">
        <v>1865</v>
      </c>
      <c r="F11202" s="712" t="s">
        <v>1007</v>
      </c>
      <c r="G11202" s="714" t="s">
        <v>26</v>
      </c>
    </row>
    <row r="11203" spans="1:7" ht="19.899999999999999" customHeight="1" x14ac:dyDescent="0.2">
      <c r="A11203" s="491" t="s">
        <v>577</v>
      </c>
      <c r="B11203" s="491" t="s">
        <v>578</v>
      </c>
      <c r="C11203" s="709"/>
      <c r="D11203" s="721"/>
      <c r="E11203" s="711"/>
      <c r="F11203" s="713"/>
      <c r="G11203" s="715"/>
    </row>
    <row r="11204" spans="1:7" ht="19.899999999999999" customHeight="1" x14ac:dyDescent="0.2">
      <c r="A11204" s="527"/>
      <c r="B11204" s="175"/>
      <c r="C11204" s="469" t="s">
        <v>1008</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27</v>
      </c>
      <c r="G11214" s="531">
        <f>SUBTOTAL(9,G11205:G11213)</f>
        <v>0</v>
      </c>
    </row>
    <row r="11215" spans="1:7" ht="19.899999999999999" customHeight="1" x14ac:dyDescent="0.2">
      <c r="A11215" s="527"/>
      <c r="B11215" s="175"/>
      <c r="C11215" s="469" t="s">
        <v>713</v>
      </c>
      <c r="D11215" s="473"/>
      <c r="E11215" s="474"/>
      <c r="F11215" s="475"/>
      <c r="G11215" s="528"/>
    </row>
    <row r="11216" spans="1:7" ht="19.899999999999999" customHeight="1" x14ac:dyDescent="0.2">
      <c r="A11216" s="706" t="s">
        <v>576</v>
      </c>
      <c r="B11216" s="707"/>
      <c r="C11216" s="708" t="s">
        <v>0</v>
      </c>
      <c r="D11216" s="710" t="s">
        <v>24</v>
      </c>
      <c r="E11216" s="710" t="s">
        <v>1832</v>
      </c>
      <c r="F11216" s="712" t="s">
        <v>1007</v>
      </c>
      <c r="G11216" s="714" t="s">
        <v>26</v>
      </c>
    </row>
    <row r="11217" spans="1:7" ht="19.899999999999999" customHeight="1" x14ac:dyDescent="0.2">
      <c r="A11217" s="491" t="s">
        <v>577</v>
      </c>
      <c r="B11217" s="491" t="s">
        <v>578</v>
      </c>
      <c r="C11217" s="709"/>
      <c r="D11217" s="711"/>
      <c r="E11217" s="711"/>
      <c r="F11217" s="713"/>
      <c r="G11217" s="715"/>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28</v>
      </c>
      <c r="G11225" s="532">
        <f>SUBTOTAL(9,G11218:G11224)</f>
        <v>0</v>
      </c>
    </row>
    <row r="11226" spans="1:7" ht="19.899999999999999" customHeight="1" x14ac:dyDescent="0.2">
      <c r="A11226" s="527"/>
      <c r="B11226" s="175"/>
      <c r="C11226" s="469" t="s">
        <v>1014</v>
      </c>
      <c r="D11226" s="473"/>
      <c r="E11226" s="474"/>
      <c r="F11226" s="475"/>
      <c r="G11226" s="528"/>
    </row>
    <row r="11227" spans="1:7" ht="19.899999999999999" customHeight="1" x14ac:dyDescent="0.2">
      <c r="A11227" s="706" t="s">
        <v>576</v>
      </c>
      <c r="B11227" s="707"/>
      <c r="C11227" s="708" t="s">
        <v>0</v>
      </c>
      <c r="D11227" s="708" t="s">
        <v>1867</v>
      </c>
      <c r="E11227" s="710" t="s">
        <v>24</v>
      </c>
      <c r="F11227" s="712" t="s">
        <v>25</v>
      </c>
      <c r="G11227" s="714" t="s">
        <v>26</v>
      </c>
    </row>
    <row r="11228" spans="1:7" ht="19.899999999999999" customHeight="1" x14ac:dyDescent="0.2">
      <c r="A11228" s="491" t="s">
        <v>577</v>
      </c>
      <c r="B11228" s="491" t="s">
        <v>578</v>
      </c>
      <c r="C11228" s="709"/>
      <c r="D11228" s="709"/>
      <c r="E11228" s="711"/>
      <c r="F11228" s="713"/>
      <c r="G11228" s="715"/>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29</v>
      </c>
      <c r="G11240" s="532">
        <f>SUBTOTAL(9,G11229:G11239)</f>
        <v>0</v>
      </c>
    </row>
    <row r="11241" spans="1:7" ht="19.899999999999999" customHeight="1" x14ac:dyDescent="0.2">
      <c r="A11241" s="527"/>
      <c r="B11241" s="175"/>
      <c r="C11241" s="469" t="s">
        <v>1015</v>
      </c>
      <c r="D11241" s="473"/>
      <c r="E11241" s="474"/>
      <c r="F11241" s="475"/>
      <c r="G11241" s="528"/>
    </row>
    <row r="11242" spans="1:7" ht="19.899999999999999" customHeight="1" x14ac:dyDescent="0.2">
      <c r="A11242" s="706" t="s">
        <v>576</v>
      </c>
      <c r="B11242" s="707"/>
      <c r="C11242" s="708" t="s">
        <v>0</v>
      </c>
      <c r="D11242" s="708" t="s">
        <v>1867</v>
      </c>
      <c r="E11242" s="710" t="s">
        <v>24</v>
      </c>
      <c r="F11242" s="712" t="s">
        <v>25</v>
      </c>
      <c r="G11242" s="714" t="s">
        <v>26</v>
      </c>
    </row>
    <row r="11243" spans="1:7" ht="19.899999999999999" customHeight="1" x14ac:dyDescent="0.2">
      <c r="A11243" s="491" t="s">
        <v>577</v>
      </c>
      <c r="B11243" s="491" t="s">
        <v>578</v>
      </c>
      <c r="C11243" s="709"/>
      <c r="D11243" s="709"/>
      <c r="E11243" s="711"/>
      <c r="F11243" s="713"/>
      <c r="G11243" s="715"/>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1016</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1833</v>
      </c>
      <c r="E11248" s="586"/>
      <c r="F11248" s="587" t="str">
        <f ca="1">"$/"&amp;G11182</f>
        <v>$/0</v>
      </c>
      <c r="G11248" s="537">
        <f>SUBTOTAL(9,G11205:G11247)</f>
        <v>0</v>
      </c>
    </row>
    <row r="11249" spans="1:7" ht="19.899999999999999" customHeight="1" x14ac:dyDescent="0.2">
      <c r="A11249" s="533"/>
      <c r="B11249" s="534"/>
      <c r="C11249" s="535"/>
      <c r="D11249" s="535" t="s">
        <v>2043</v>
      </c>
      <c r="E11249" s="536"/>
      <c r="F11249" s="589" t="str">
        <f ca="1">"$/"&amp;G11182</f>
        <v>$/0</v>
      </c>
      <c r="G11249" s="537">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8</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9</v>
      </c>
      <c r="B2" s="11"/>
      <c r="C2" s="11" t="str">
        <f>Obra</f>
        <v>OBRA BÁSICA Y PAVIMENTACIÓN CALLE GÜEMES</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13</v>
      </c>
      <c r="B3" s="11"/>
      <c r="C3" s="11" t="str">
        <f>Ubicación</f>
        <v>Rawson - Santa Lucia</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12</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14</v>
      </c>
      <c r="B5" s="12"/>
      <c r="C5" s="63" t="str">
        <f>Plazo_Obra</f>
        <v>180 días corridos</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10</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22" t="s">
        <v>39</v>
      </c>
      <c r="B8" s="723"/>
      <c r="C8" s="723"/>
      <c r="D8" s="724"/>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8" t="s">
        <v>894</v>
      </c>
      <c r="B10" s="725" t="s">
        <v>0</v>
      </c>
      <c r="C10" s="725"/>
      <c r="D10" s="727" t="s">
        <v>11</v>
      </c>
      <c r="E10" s="42"/>
      <c r="F10" s="725" t="s">
        <v>17</v>
      </c>
      <c r="G10" s="725"/>
      <c r="H10" s="725"/>
      <c r="I10" s="725"/>
      <c r="J10" s="725"/>
      <c r="K10" s="725"/>
      <c r="L10" s="725"/>
      <c r="M10" s="725"/>
      <c r="N10" s="725"/>
      <c r="O10" s="725"/>
      <c r="P10" s="725"/>
      <c r="Q10" s="725"/>
      <c r="R10" s="19"/>
      <c r="S10" s="726" t="s">
        <v>16</v>
      </c>
    </row>
    <row r="11" spans="1:88" ht="20.100000000000001" customHeight="1" x14ac:dyDescent="0.2">
      <c r="A11" s="698"/>
      <c r="B11" s="725"/>
      <c r="C11" s="725"/>
      <c r="D11" s="727"/>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6"/>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Desbosque, destronque y limpieza del terreno</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Extracción de Arboles  y Tocones (diam.&gt;0,60 m y &lt;1,00 m)</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Excavación No Clasificada</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Construcción de Subbase Estabilizada Granular</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Construcción de Base Estabilizada Granular</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Cumplimiento Manejo Ambiental</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 xml:space="preserve">Movilidad Para el Personal de la Dirección Provincial de Vialidad </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t="str">
        <f ca="1">INDIRECT("Datos!B"&amp;MATCH("RUBRO ITEM",Datos!B:B,0)+ROW()-MATCH("RUBRO ITEM",A:A,0)-1)</f>
        <v>7.1</v>
      </c>
      <c r="B20" s="30" t="str">
        <f t="shared" ca="1" si="1"/>
        <v>A) - Cuota Mensual</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t="str">
        <f ca="1">INDIRECT("Datos!B"&amp;MATCH("RUBRO ITEM",Datos!B:B,0)+ROW()-MATCH("RUBRO ITEM",A:A,0)-1)</f>
        <v>7.2</v>
      </c>
      <c r="B21" s="30" t="str">
        <f t="shared" ca="1" si="1"/>
        <v>B)- Adicional por Km.</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8</v>
      </c>
      <c r="B22" s="30" t="str">
        <f t="shared" ca="1" si="1"/>
        <v>Movilización de Obra</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0</v>
      </c>
      <c r="B23" s="30" t="str">
        <f t="shared" ca="1" si="1"/>
        <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0</v>
      </c>
      <c r="B24" s="30" t="str">
        <f t="shared" ca="1" si="1"/>
        <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0</v>
      </c>
      <c r="B25" s="30" t="str">
        <f t="shared" ca="1" si="1"/>
        <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0</v>
      </c>
      <c r="B26" s="30" t="str">
        <f t="shared" ca="1" si="1"/>
        <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0</v>
      </c>
      <c r="B27" s="30" t="str">
        <f t="shared" ca="1" si="1"/>
        <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f ca="1">INDIRECT("Datos!B"&amp;MATCH("RUBRO ITEM",Datos!B:B,0)+ROW()-MATCH("RUBRO ITEM",A:A,0)-1)</f>
        <v>0</v>
      </c>
      <c r="B28" s="30" t="str">
        <f t="shared" ca="1" si="1"/>
        <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f ca="1">INDIRECT("Datos!B"&amp;MATCH("RUBRO ITEM",Datos!B:B,0)+ROW()-MATCH("RUBRO ITEM",A:A,0)-1)</f>
        <v>0</v>
      </c>
      <c r="B29" s="30" t="str">
        <f t="shared" ca="1" si="1"/>
        <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f ca="1">INDIRECT("Datos!B"&amp;MATCH("RUBRO ITEM",Datos!B:B,0)+ROW()-MATCH("RUBRO ITEM",A:A,0)-1)</f>
        <v>0</v>
      </c>
      <c r="B30" s="30" t="str">
        <f t="shared" ca="1" si="1"/>
        <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f ca="1">INDIRECT("Datos!B"&amp;MATCH("RUBRO ITEM",Datos!B:B,0)+ROW()-MATCH("RUBRO ITEM",A:A,0)-1)</f>
        <v>0</v>
      </c>
      <c r="B31" s="30" t="str">
        <f t="shared" ca="1" si="1"/>
        <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0</v>
      </c>
      <c r="B32" s="30" t="str">
        <f t="shared" ca="1" si="1"/>
        <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3</v>
      </c>
      <c r="B163" s="32" t="s">
        <v>3</v>
      </c>
      <c r="C163" s="32"/>
      <c r="D163" s="49" t="s">
        <v>4</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3</v>
      </c>
      <c r="B164" s="46" t="s">
        <v>7</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18</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941</v>
      </c>
      <c r="F168" s="5"/>
      <c r="G168" s="5"/>
      <c r="H168" s="5"/>
      <c r="I168" s="5"/>
      <c r="J168" s="5"/>
      <c r="K168" s="5"/>
      <c r="L168" s="5"/>
      <c r="M168" s="5"/>
      <c r="N168" s="5"/>
      <c r="O168" s="5"/>
      <c r="P168" s="5"/>
      <c r="Q168" s="5"/>
    </row>
    <row r="169" spans="1:19" ht="20.100000000000001" customHeight="1" x14ac:dyDescent="0.2">
      <c r="A169" s="5"/>
      <c r="B169" s="5"/>
      <c r="C169" s="5"/>
      <c r="D169" s="35" t="s">
        <v>20</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891</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I18" sqref="I18"/>
    </sheetView>
  </sheetViews>
  <sheetFormatPr baseColWidth="10" defaultColWidth="10.85546875" defaultRowHeight="19.5" customHeight="1" x14ac:dyDescent="0.2"/>
  <cols>
    <col min="2" max="2" width="43.28515625" customWidth="1"/>
    <col min="3" max="3" width="52.28515625" bestFit="1" customWidth="1"/>
  </cols>
  <sheetData>
    <row r="1" spans="1:4" ht="19.5" customHeight="1" x14ac:dyDescent="0.2">
      <c r="A1" s="618" t="s">
        <v>10</v>
      </c>
      <c r="B1" s="618"/>
      <c r="C1" s="618" t="str">
        <f>+Contratista</f>
        <v>EMPRESA PRUEBA</v>
      </c>
      <c r="D1" s="618"/>
    </row>
    <row r="2" spans="1:4" ht="19.5" customHeight="1" x14ac:dyDescent="0.2">
      <c r="A2" s="618" t="s">
        <v>41</v>
      </c>
      <c r="B2" s="618"/>
      <c r="C2" s="619">
        <f>[4]CyP!C11</f>
        <v>1658496</v>
      </c>
      <c r="D2" s="618"/>
    </row>
    <row r="3" spans="1:4" ht="19.5" customHeight="1" x14ac:dyDescent="0.2">
      <c r="A3" s="618"/>
      <c r="B3" s="618"/>
      <c r="C3" s="618"/>
      <c r="D3" s="618"/>
    </row>
    <row r="4" spans="1:4" ht="19.5" customHeight="1" x14ac:dyDescent="0.2">
      <c r="A4" s="728" t="s">
        <v>2078</v>
      </c>
      <c r="B4" s="728"/>
      <c r="C4" s="728"/>
      <c r="D4" s="728"/>
    </row>
    <row r="5" spans="1:4" ht="19.5" customHeight="1" thickBot="1" x14ac:dyDescent="0.25">
      <c r="A5" s="618"/>
      <c r="B5" s="618"/>
      <c r="C5" s="618"/>
      <c r="D5" s="618"/>
    </row>
    <row r="6" spans="1:4" ht="19.5" customHeight="1" thickBot="1" x14ac:dyDescent="0.25">
      <c r="A6" s="620" t="s">
        <v>2079</v>
      </c>
      <c r="B6" s="621" t="s">
        <v>900</v>
      </c>
      <c r="C6" s="621" t="s">
        <v>901</v>
      </c>
      <c r="D6" s="622" t="s">
        <v>2080</v>
      </c>
    </row>
    <row r="7" spans="1:4" ht="19.5" customHeight="1" x14ac:dyDescent="0.2">
      <c r="A7" s="623">
        <v>1</v>
      </c>
      <c r="B7" s="689" t="s">
        <v>2114</v>
      </c>
      <c r="C7" s="689" t="s">
        <v>848</v>
      </c>
      <c r="D7" s="625">
        <v>0.25</v>
      </c>
    </row>
    <row r="8" spans="1:4" ht="19.5" customHeight="1" x14ac:dyDescent="0.2">
      <c r="A8" s="626">
        <v>2</v>
      </c>
      <c r="B8" s="689" t="s">
        <v>1617</v>
      </c>
      <c r="C8" s="689" t="s">
        <v>561</v>
      </c>
      <c r="D8" s="627">
        <v>0.1</v>
      </c>
    </row>
    <row r="9" spans="1:4" ht="19.5" customHeight="1" x14ac:dyDescent="0.2">
      <c r="A9" s="626">
        <v>3</v>
      </c>
      <c r="B9" s="624" t="s">
        <v>1637</v>
      </c>
      <c r="C9" s="689" t="s">
        <v>552</v>
      </c>
      <c r="D9" s="627">
        <v>0.4</v>
      </c>
    </row>
    <row r="10" spans="1:4" ht="19.5" customHeight="1" x14ac:dyDescent="0.2">
      <c r="A10" s="626">
        <v>4</v>
      </c>
      <c r="B10" s="689" t="s">
        <v>911</v>
      </c>
      <c r="C10" s="689" t="s">
        <v>359</v>
      </c>
      <c r="D10" s="627">
        <v>0.1</v>
      </c>
    </row>
    <row r="11" spans="1:4" ht="19.5" customHeight="1" x14ac:dyDescent="0.2">
      <c r="A11" s="626">
        <v>5</v>
      </c>
      <c r="B11" s="689" t="s">
        <v>2115</v>
      </c>
      <c r="C11" s="689" t="s">
        <v>289</v>
      </c>
      <c r="D11" s="627">
        <v>0.15</v>
      </c>
    </row>
    <row r="12" spans="1:4" ht="19.5" customHeight="1" x14ac:dyDescent="0.2">
      <c r="A12" s="626">
        <v>6</v>
      </c>
      <c r="B12" s="689"/>
      <c r="C12" s="689"/>
      <c r="D12" s="627"/>
    </row>
    <row r="13" spans="1:4" ht="19.5" customHeight="1" x14ac:dyDescent="0.2">
      <c r="A13" s="626">
        <v>7</v>
      </c>
      <c r="B13" s="689"/>
      <c r="C13" s="689"/>
      <c r="D13" s="627"/>
    </row>
    <row r="14" spans="1:4" ht="19.5" customHeight="1" x14ac:dyDescent="0.2">
      <c r="A14" s="626">
        <v>8</v>
      </c>
      <c r="B14" s="624"/>
      <c r="C14" s="624"/>
      <c r="D14" s="627"/>
    </row>
    <row r="15" spans="1:4" ht="19.5" customHeight="1" x14ac:dyDescent="0.2">
      <c r="A15" s="626">
        <v>9</v>
      </c>
      <c r="B15" s="624"/>
      <c r="C15" s="624"/>
      <c r="D15" s="627"/>
    </row>
    <row r="16" spans="1:4" ht="19.5" customHeight="1" thickBot="1" x14ac:dyDescent="0.25">
      <c r="A16" s="628">
        <v>10</v>
      </c>
      <c r="B16" s="624"/>
      <c r="C16" s="624"/>
      <c r="D16" s="629"/>
    </row>
    <row r="17" spans="1:4" ht="19.5" customHeight="1" x14ac:dyDescent="0.2">
      <c r="A17" t="s">
        <v>940</v>
      </c>
    </row>
    <row r="18" spans="1:4" ht="19.5" customHeight="1" x14ac:dyDescent="0.2">
      <c r="D18" s="68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5" customWidth="1"/>
    <col min="7" max="7" width="12.140625" style="645" customWidth="1"/>
    <col min="8" max="8" width="13.140625" style="645"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8</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9</v>
      </c>
      <c r="B2" s="11"/>
      <c r="C2" s="11" t="str">
        <f>Obra</f>
        <v>OBRA BÁSICA Y PAVIMENTACIÓN CALLE GÜEMES</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13</v>
      </c>
      <c r="B3" s="11"/>
      <c r="C3" s="11" t="str">
        <f>Ubicación</f>
        <v>Rawson - Santa Lucia</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12</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14</v>
      </c>
      <c r="B5" s="12"/>
      <c r="C5" s="63" t="str">
        <f>Plazo_Obra</f>
        <v>180 días corridos</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10</v>
      </c>
      <c r="B6" s="11"/>
      <c r="C6" s="11">
        <f>Contratista</f>
        <v>0</v>
      </c>
      <c r="F6" s="630" t="s">
        <v>2081</v>
      </c>
      <c r="G6" s="631">
        <f>+'MED OBRA'!J6</f>
        <v>43831</v>
      </c>
      <c r="H6" s="632">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22" t="s">
        <v>2082</v>
      </c>
      <c r="B8" s="723"/>
      <c r="C8" s="723"/>
      <c r="D8" s="724"/>
      <c r="E8" s="7"/>
      <c r="F8" s="633"/>
      <c r="G8" s="633"/>
      <c r="H8" s="633"/>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8" t="s">
        <v>894</v>
      </c>
      <c r="B10" s="725" t="s">
        <v>0</v>
      </c>
      <c r="C10" s="725"/>
      <c r="D10" s="727" t="s">
        <v>11</v>
      </c>
      <c r="E10" s="42"/>
      <c r="F10" s="729">
        <f>+'MED OBRA'!I10</f>
        <v>1</v>
      </c>
      <c r="G10" s="730"/>
      <c r="H10" s="731"/>
      <c r="I10" s="20"/>
    </row>
    <row r="11" spans="1:78" ht="25.5" x14ac:dyDescent="0.2">
      <c r="A11" s="698"/>
      <c r="B11" s="725"/>
      <c r="C11" s="725"/>
      <c r="D11" s="727"/>
      <c r="E11" s="42"/>
      <c r="F11" s="617" t="s">
        <v>2083</v>
      </c>
      <c r="G11" s="617" t="s">
        <v>2084</v>
      </c>
      <c r="H11" s="617" t="s">
        <v>2085</v>
      </c>
      <c r="I11" s="20"/>
    </row>
    <row r="12" spans="1:78" ht="20.100000000000001" customHeight="1" x14ac:dyDescent="0.2">
      <c r="A12" s="28"/>
      <c r="B12" s="46"/>
      <c r="C12" s="46"/>
      <c r="D12" s="47"/>
      <c r="E12" s="42"/>
      <c r="F12" s="634"/>
      <c r="G12" s="634"/>
      <c r="H12" s="634"/>
      <c r="I12" s="635"/>
    </row>
    <row r="13" spans="1:78" ht="20.100000000000001" customHeight="1" x14ac:dyDescent="0.2">
      <c r="A13" s="636">
        <f>[4]CyP!A18</f>
        <v>1</v>
      </c>
      <c r="B13" s="732" t="str">
        <f t="shared" ref="B13:B19" si="0">IFERROR(VLOOKUP(A13,Tabla_CyP,2,FALSE),"")</f>
        <v>LIMPIEZA DE TERRENO</v>
      </c>
      <c r="C13" s="733"/>
      <c r="D13" s="637">
        <f t="shared" ref="D13:D19" si="1">IFERROR(VLOOKUP(A13,Tabla_CyP,9,FALSE),0)</f>
        <v>3.5714285714285712E-2</v>
      </c>
      <c r="E13" s="33"/>
      <c r="F13" s="638">
        <f>+VLOOKUP($A13,'MED OBRA'!$A$13:$K$36,9,FALSE)</f>
        <v>0</v>
      </c>
      <c r="G13" s="638">
        <f>+VLOOKUP($A13,'MED OBRA'!$A$13:$K$36,10,FALSE)</f>
        <v>0</v>
      </c>
      <c r="H13" s="638">
        <f>+VLOOKUP($A13,'MED OBRA'!$A$13:$K$36,11,FALSE)</f>
        <v>0</v>
      </c>
      <c r="I13" s="21"/>
    </row>
    <row r="14" spans="1:78" ht="20.100000000000001" customHeight="1" x14ac:dyDescent="0.2">
      <c r="A14" s="636">
        <f>[4]CyP!A19</f>
        <v>2</v>
      </c>
      <c r="B14" s="732" t="str">
        <f t="shared" si="0"/>
        <v>HORMIGONES</v>
      </c>
      <c r="C14" s="733"/>
      <c r="D14" s="637">
        <f t="shared" si="1"/>
        <v>7.1428571428571425E-2</v>
      </c>
      <c r="E14" s="639"/>
      <c r="F14" s="638">
        <f>+VLOOKUP(A14,'MED OBRA'!$A$13:$K$36,9,FALSE)</f>
        <v>0</v>
      </c>
      <c r="G14" s="638">
        <f>+VLOOKUP($A14,'MED OBRA'!$A$13:$K$36,10,FALSE)</f>
        <v>0</v>
      </c>
      <c r="H14" s="638">
        <f>+VLOOKUP($A14,'MED OBRA'!$A$13:$K$36,11,FALSE)</f>
        <v>0</v>
      </c>
      <c r="I14" s="640"/>
    </row>
    <row r="15" spans="1:78" ht="20.100000000000001" customHeight="1" x14ac:dyDescent="0.2">
      <c r="A15" s="636">
        <f>[4]CyP!A20</f>
        <v>3</v>
      </c>
      <c r="B15" s="732" t="str">
        <f t="shared" si="0"/>
        <v>MAMPOSTERIA</v>
      </c>
      <c r="C15" s="733"/>
      <c r="D15" s="637">
        <f t="shared" si="1"/>
        <v>0.10714285714285714</v>
      </c>
      <c r="E15" s="639"/>
      <c r="F15" s="638">
        <f>+VLOOKUP(A15,'MED OBRA'!$A$13:$K$36,9,FALSE)</f>
        <v>0</v>
      </c>
      <c r="G15" s="638">
        <f>+VLOOKUP($A15,'MED OBRA'!$A$13:$K$36,10,FALSE)</f>
        <v>0</v>
      </c>
      <c r="H15" s="638">
        <f>+VLOOKUP($A15,'MED OBRA'!$A$13:$K$36,11,FALSE)</f>
        <v>0</v>
      </c>
      <c r="I15" s="640"/>
    </row>
    <row r="16" spans="1:78" ht="20.100000000000001" customHeight="1" x14ac:dyDescent="0.2">
      <c r="A16" s="636">
        <f>[4]CyP!A21</f>
        <v>4</v>
      </c>
      <c r="B16" s="732" t="str">
        <f t="shared" si="0"/>
        <v>REVOQUES</v>
      </c>
      <c r="C16" s="733"/>
      <c r="D16" s="637">
        <f t="shared" si="1"/>
        <v>0.14285714285714285</v>
      </c>
      <c r="E16" s="639"/>
      <c r="F16" s="638">
        <f>+VLOOKUP(A16,'MED OBRA'!$A$13:$K$36,9,FALSE)</f>
        <v>0</v>
      </c>
      <c r="G16" s="638">
        <f>+VLOOKUP($A16,'MED OBRA'!$A$13:$K$36,10,FALSE)</f>
        <v>0</v>
      </c>
      <c r="H16" s="638">
        <f>+VLOOKUP($A16,'MED OBRA'!$A$13:$K$36,11,FALSE)</f>
        <v>0</v>
      </c>
      <c r="I16" s="640"/>
    </row>
    <row r="17" spans="1:9" ht="20.100000000000001" customHeight="1" x14ac:dyDescent="0.2">
      <c r="A17" s="636">
        <f>[4]CyP!A22</f>
        <v>5</v>
      </c>
      <c r="B17" s="732" t="str">
        <f t="shared" si="0"/>
        <v>CARPINTERIA</v>
      </c>
      <c r="C17" s="733"/>
      <c r="D17" s="637">
        <f t="shared" si="1"/>
        <v>0.17857142857142858</v>
      </c>
      <c r="E17" s="639"/>
      <c r="F17" s="638">
        <f>+VLOOKUP(A17,'MED OBRA'!$A$13:$K$36,9,FALSE)</f>
        <v>0</v>
      </c>
      <c r="G17" s="638">
        <f>+VLOOKUP($A17,'MED OBRA'!$A$13:$K$36,10,FALSE)</f>
        <v>0</v>
      </c>
      <c r="H17" s="638">
        <f>+VLOOKUP($A17,'MED OBRA'!$A$13:$K$36,11,FALSE)</f>
        <v>0</v>
      </c>
      <c r="I17" s="640"/>
    </row>
    <row r="18" spans="1:9" ht="20.100000000000001" customHeight="1" x14ac:dyDescent="0.2">
      <c r="A18" s="636">
        <f>[4]CyP!A23</f>
        <v>6</v>
      </c>
      <c r="B18" s="732" t="str">
        <f t="shared" si="0"/>
        <v>INSTALACION SANITARIA</v>
      </c>
      <c r="C18" s="733"/>
      <c r="D18" s="637">
        <f t="shared" si="1"/>
        <v>0.21428571428571427</v>
      </c>
      <c r="E18" s="639"/>
      <c r="F18" s="638">
        <f>+VLOOKUP(A18,'MED OBRA'!$A$13:$K$36,9,FALSE)</f>
        <v>0</v>
      </c>
      <c r="G18" s="638">
        <f>+VLOOKUP($A18,'MED OBRA'!$A$13:$K$36,10,FALSE)</f>
        <v>0</v>
      </c>
      <c r="H18" s="638">
        <f>+VLOOKUP($A18,'MED OBRA'!$A$13:$K$36,11,FALSE)</f>
        <v>0</v>
      </c>
      <c r="I18" s="640"/>
    </row>
    <row r="19" spans="1:9" ht="20.100000000000001" customHeight="1" x14ac:dyDescent="0.2">
      <c r="A19" s="636">
        <f>[4]CyP!A24</f>
        <v>7</v>
      </c>
      <c r="B19" s="732" t="str">
        <f t="shared" si="0"/>
        <v>INTALACION GAS</v>
      </c>
      <c r="C19" s="733"/>
      <c r="D19" s="637">
        <f t="shared" si="1"/>
        <v>0.25</v>
      </c>
      <c r="E19" s="639"/>
      <c r="F19" s="638">
        <f>+VLOOKUP(A19,'MED OBRA'!$A$13:$K$36,9,FALSE)</f>
        <v>0</v>
      </c>
      <c r="G19" s="638">
        <f>+VLOOKUP($A19,'MED OBRA'!$A$13:$K$36,10,FALSE)</f>
        <v>0</v>
      </c>
      <c r="H19" s="638">
        <f>+VLOOKUP($A19,'MED OBRA'!$A$13:$K$36,11,FALSE)</f>
        <v>0</v>
      </c>
      <c r="I19" s="640"/>
    </row>
    <row r="20" spans="1:9" ht="20.100000000000001" customHeight="1" x14ac:dyDescent="0.2">
      <c r="A20" s="48" t="s">
        <v>3</v>
      </c>
      <c r="B20" s="32" t="s">
        <v>3</v>
      </c>
      <c r="C20" s="32"/>
      <c r="D20" s="49" t="s">
        <v>4</v>
      </c>
      <c r="E20" s="33"/>
      <c r="F20" s="641"/>
      <c r="G20" s="641"/>
      <c r="H20" s="641"/>
    </row>
    <row r="21" spans="1:9" ht="20.100000000000001" customHeight="1" x14ac:dyDescent="0.2">
      <c r="A21" s="48" t="s">
        <v>3</v>
      </c>
      <c r="B21" s="46" t="s">
        <v>7</v>
      </c>
      <c r="C21" s="50"/>
      <c r="D21" s="642">
        <f>SUM(D13:D20)</f>
        <v>1</v>
      </c>
      <c r="E21" s="643"/>
      <c r="F21" s="644">
        <f>+SUMPRODUCT(F13:F19,$D$13:$D$19)</f>
        <v>0</v>
      </c>
      <c r="G21" s="644">
        <f>+SUMPRODUCT(G13:G19,$D$13:$D$19)</f>
        <v>0</v>
      </c>
      <c r="H21" s="644">
        <f t="shared" ref="H21" si="2">+SUMPRODUCT(H13:H19,$D$13:$D$19)</f>
        <v>0</v>
      </c>
    </row>
    <row r="22" spans="1:9" ht="20.100000000000001" customHeight="1" x14ac:dyDescent="0.2">
      <c r="A22" s="5" t="s">
        <v>940</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5"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8</v>
      </c>
      <c r="B1" s="3"/>
      <c r="C1" s="3" t="str">
        <f>Comitente</f>
        <v>DIRECCIÓN PROVINCIAL DE VIALIDAD</v>
      </c>
      <c r="D1" s="4"/>
      <c r="H1" s="646"/>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9</v>
      </c>
      <c r="B2" s="11"/>
      <c r="C2" s="11" t="str">
        <f>Obra</f>
        <v>OBRA BÁSICA Y PAVIMENTACIÓN CALLE GÜEMES</v>
      </c>
      <c r="H2" s="647"/>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13</v>
      </c>
      <c r="B3" s="11"/>
      <c r="C3" s="11" t="str">
        <f>Ubicación</f>
        <v>Rawson - Santa Lucia</v>
      </c>
      <c r="H3" s="647"/>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12</v>
      </c>
      <c r="B4" s="12"/>
      <c r="C4" s="62">
        <f>Licitación_N°</f>
        <v>0</v>
      </c>
      <c r="H4" s="647"/>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14</v>
      </c>
      <c r="B5" s="12"/>
      <c r="C5" s="63" t="str">
        <f>Plazo_Obra</f>
        <v>180 días corridos</v>
      </c>
      <c r="H5" s="647"/>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10</v>
      </c>
      <c r="B6" s="11"/>
      <c r="C6" s="11">
        <f>Contratista</f>
        <v>0</v>
      </c>
      <c r="H6" s="647"/>
      <c r="I6" s="648" t="s">
        <v>2081</v>
      </c>
      <c r="J6" s="649">
        <v>43831</v>
      </c>
      <c r="K6" s="650">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1"/>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22" t="s">
        <v>2082</v>
      </c>
      <c r="B8" s="723"/>
      <c r="C8" s="723"/>
      <c r="D8" s="724"/>
      <c r="E8" s="7"/>
      <c r="F8" s="7"/>
      <c r="G8" s="7"/>
      <c r="H8" s="652"/>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8" t="s">
        <v>894</v>
      </c>
      <c r="B10" s="725" t="s">
        <v>0</v>
      </c>
      <c r="C10" s="725"/>
      <c r="D10" s="727" t="s">
        <v>11</v>
      </c>
      <c r="E10" s="42"/>
      <c r="F10" s="727" t="s">
        <v>2086</v>
      </c>
      <c r="G10" s="727" t="s">
        <v>2087</v>
      </c>
      <c r="H10" s="755" t="s">
        <v>2088</v>
      </c>
      <c r="I10" s="756">
        <v>1</v>
      </c>
      <c r="J10" s="757"/>
      <c r="K10" s="758"/>
      <c r="L10" s="19"/>
    </row>
    <row r="11" spans="1:81" ht="25.5" x14ac:dyDescent="0.2">
      <c r="A11" s="698"/>
      <c r="B11" s="725"/>
      <c r="C11" s="725"/>
      <c r="D11" s="727"/>
      <c r="E11" s="42"/>
      <c r="F11" s="727"/>
      <c r="G11" s="727"/>
      <c r="H11" s="755"/>
      <c r="I11" s="617" t="s">
        <v>2083</v>
      </c>
      <c r="J11" s="617" t="s">
        <v>2084</v>
      </c>
      <c r="K11" s="617" t="s">
        <v>2085</v>
      </c>
      <c r="L11" s="20"/>
    </row>
    <row r="12" spans="1:81" ht="20.100000000000001" customHeight="1" thickBot="1" x14ac:dyDescent="0.25">
      <c r="A12" s="653"/>
      <c r="B12" s="654"/>
      <c r="C12" s="654"/>
      <c r="D12" s="655"/>
      <c r="E12" s="42"/>
      <c r="F12" s="42"/>
      <c r="G12" s="42"/>
      <c r="H12" s="656"/>
      <c r="I12" s="634"/>
      <c r="J12" s="634"/>
      <c r="K12" s="634"/>
      <c r="L12" s="635"/>
    </row>
    <row r="13" spans="1:81" ht="20.100000000000001" customHeight="1" thickBot="1" x14ac:dyDescent="0.25">
      <c r="A13" s="657">
        <f>[4]CyP!A18</f>
        <v>1</v>
      </c>
      <c r="B13" s="759" t="str">
        <f t="shared" ref="B13:B28" si="0">IFERROR(VLOOKUP(A13,Tabla_CyP,2,FALSE),"")</f>
        <v>LIMPIEZA DE TERRENO</v>
      </c>
      <c r="C13" s="760"/>
      <c r="D13" s="658">
        <f t="shared" ref="D13:D28" si="1">IFERROR(VLOOKUP(A13,Tabla_CyP,9,FALSE),0)</f>
        <v>3.5714285714285712E-2</v>
      </c>
      <c r="E13" s="659"/>
      <c r="F13" s="660" t="s">
        <v>2089</v>
      </c>
      <c r="G13" s="661">
        <v>1</v>
      </c>
      <c r="H13" s="662"/>
      <c r="I13" s="663"/>
      <c r="J13" s="664">
        <f>+K13-I13</f>
        <v>0</v>
      </c>
      <c r="K13" s="665">
        <f>ROUND(+H13/[4]CyP!E18*G13,4)</f>
        <v>0</v>
      </c>
    </row>
    <row r="14" spans="1:81" ht="20.100000000000001" customHeight="1" x14ac:dyDescent="0.2">
      <c r="A14" s="737">
        <f>[4]CyP!A19</f>
        <v>2</v>
      </c>
      <c r="B14" s="740" t="str">
        <f t="shared" si="0"/>
        <v>HORMIGONES</v>
      </c>
      <c r="C14" s="741"/>
      <c r="D14" s="746">
        <f t="shared" si="1"/>
        <v>7.1428571428571425E-2</v>
      </c>
      <c r="E14" s="666"/>
      <c r="F14" s="667" t="s">
        <v>2090</v>
      </c>
      <c r="G14" s="668">
        <v>0.2</v>
      </c>
      <c r="H14" s="669"/>
      <c r="I14" s="749"/>
      <c r="J14" s="752">
        <f>+K14-I14</f>
        <v>0</v>
      </c>
      <c r="K14" s="734">
        <f>+ROUND(H14/[4]CyP!E19*'MED OBRA'!G14+'MED OBRA'!H15/[4]CyP!E19*'MED OBRA'!G15+'MED OBRA'!H16/[4]CyP!E19*'MED OBRA'!G16,4)</f>
        <v>0</v>
      </c>
      <c r="L14" s="670"/>
    </row>
    <row r="15" spans="1:81" ht="20.100000000000001" customHeight="1" x14ac:dyDescent="0.2">
      <c r="A15" s="738"/>
      <c r="B15" s="742"/>
      <c r="C15" s="743"/>
      <c r="D15" s="747"/>
      <c r="E15" s="639"/>
      <c r="F15" s="671" t="s">
        <v>2091</v>
      </c>
      <c r="G15" s="672">
        <v>0.5</v>
      </c>
      <c r="H15" s="673"/>
      <c r="I15" s="750"/>
      <c r="J15" s="753"/>
      <c r="K15" s="735"/>
      <c r="L15" s="670"/>
    </row>
    <row r="16" spans="1:81" ht="20.100000000000001" customHeight="1" thickBot="1" x14ac:dyDescent="0.25">
      <c r="A16" s="739"/>
      <c r="B16" s="744"/>
      <c r="C16" s="745"/>
      <c r="D16" s="748"/>
      <c r="E16" s="674"/>
      <c r="F16" s="675" t="s">
        <v>2092</v>
      </c>
      <c r="G16" s="676">
        <v>0.3</v>
      </c>
      <c r="H16" s="677"/>
      <c r="I16" s="751"/>
      <c r="J16" s="754"/>
      <c r="K16" s="736"/>
      <c r="L16" s="670"/>
    </row>
    <row r="17" spans="1:12" ht="20.100000000000001" customHeight="1" x14ac:dyDescent="0.2">
      <c r="A17" s="737">
        <f>[4]CyP!A20</f>
        <v>3</v>
      </c>
      <c r="B17" s="740" t="str">
        <f t="shared" si="0"/>
        <v>MAMPOSTERIA</v>
      </c>
      <c r="C17" s="741"/>
      <c r="D17" s="746">
        <f t="shared" si="1"/>
        <v>0.10714285714285714</v>
      </c>
      <c r="E17" s="666"/>
      <c r="F17" s="667" t="s">
        <v>2093</v>
      </c>
      <c r="G17" s="668">
        <v>0.7</v>
      </c>
      <c r="H17" s="669"/>
      <c r="I17" s="749"/>
      <c r="J17" s="752">
        <f>+K17-I17</f>
        <v>0</v>
      </c>
      <c r="K17" s="734">
        <f>+ROUND(H17/[4]CyP!E20*'MED OBRA'!G17+'MED OBRA'!H18/[4]CyP!E20*'MED OBRA'!G18,4)</f>
        <v>0</v>
      </c>
      <c r="L17" s="670"/>
    </row>
    <row r="18" spans="1:12" ht="20.100000000000001" customHeight="1" thickBot="1" x14ac:dyDescent="0.25">
      <c r="A18" s="739"/>
      <c r="B18" s="744"/>
      <c r="C18" s="745"/>
      <c r="D18" s="748"/>
      <c r="E18" s="674"/>
      <c r="F18" s="675" t="s">
        <v>2094</v>
      </c>
      <c r="G18" s="676">
        <v>0.3</v>
      </c>
      <c r="H18" s="677"/>
      <c r="I18" s="751"/>
      <c r="J18" s="754"/>
      <c r="K18" s="736"/>
      <c r="L18" s="670"/>
    </row>
    <row r="19" spans="1:12" ht="20.100000000000001" customHeight="1" x14ac:dyDescent="0.2">
      <c r="A19" s="737">
        <f>[4]CyP!A21</f>
        <v>4</v>
      </c>
      <c r="B19" s="740" t="str">
        <f t="shared" si="0"/>
        <v>REVOQUES</v>
      </c>
      <c r="C19" s="741"/>
      <c r="D19" s="746">
        <f t="shared" si="1"/>
        <v>0.14285714285714285</v>
      </c>
      <c r="E19" s="666"/>
      <c r="F19" s="667" t="s">
        <v>2095</v>
      </c>
      <c r="G19" s="668">
        <v>0.33</v>
      </c>
      <c r="H19" s="669"/>
      <c r="I19" s="749"/>
      <c r="J19" s="752">
        <f>+K19-I19</f>
        <v>0</v>
      </c>
      <c r="K19" s="734">
        <f>+ROUND(H19/[4]CyP!E21*'MED OBRA'!G19+'MED OBRA'!H20/[4]CyP!E21*'MED OBRA'!G20+'MED OBRA'!H21/[4]CyP!E21*'MED OBRA'!G21,4)</f>
        <v>0</v>
      </c>
      <c r="L19" s="670"/>
    </row>
    <row r="20" spans="1:12" ht="20.100000000000001" customHeight="1" x14ac:dyDescent="0.2">
      <c r="A20" s="738"/>
      <c r="B20" s="742"/>
      <c r="C20" s="743"/>
      <c r="D20" s="747"/>
      <c r="E20" s="639"/>
      <c r="F20" s="671" t="s">
        <v>2096</v>
      </c>
      <c r="G20" s="672">
        <v>0.33</v>
      </c>
      <c r="H20" s="673"/>
      <c r="I20" s="750"/>
      <c r="J20" s="753"/>
      <c r="K20" s="735"/>
      <c r="L20" s="670"/>
    </row>
    <row r="21" spans="1:12" ht="20.100000000000001" customHeight="1" thickBot="1" x14ac:dyDescent="0.25">
      <c r="A21" s="739"/>
      <c r="B21" s="744"/>
      <c r="C21" s="745"/>
      <c r="D21" s="748"/>
      <c r="E21" s="674"/>
      <c r="F21" s="675" t="s">
        <v>2097</v>
      </c>
      <c r="G21" s="676">
        <v>0.34</v>
      </c>
      <c r="H21" s="677"/>
      <c r="I21" s="751"/>
      <c r="J21" s="754"/>
      <c r="K21" s="736"/>
      <c r="L21" s="670"/>
    </row>
    <row r="22" spans="1:12" ht="20.100000000000001" customHeight="1" x14ac:dyDescent="0.2">
      <c r="A22" s="737">
        <f>[4]CyP!A22</f>
        <v>5</v>
      </c>
      <c r="B22" s="740" t="str">
        <f t="shared" si="0"/>
        <v>CARPINTERIA</v>
      </c>
      <c r="C22" s="741"/>
      <c r="D22" s="746">
        <f t="shared" si="1"/>
        <v>0.17857142857142858</v>
      </c>
      <c r="E22" s="666"/>
      <c r="F22" s="667" t="s">
        <v>2098</v>
      </c>
      <c r="G22" s="668">
        <v>0.1</v>
      </c>
      <c r="H22" s="669"/>
      <c r="I22" s="749"/>
      <c r="J22" s="752">
        <f>+K22-I22</f>
        <v>0</v>
      </c>
      <c r="K22" s="734">
        <f>+ROUND(H22/[4]CyP!E22*'MED OBRA'!G22+'MED OBRA'!H23/[4]CyP!E22*'MED OBRA'!G23+'MED OBRA'!H24/[4]CyP!E22*'MED OBRA'!G24+'MED OBRA'!H25/[4]CyP!E22*'MED OBRA'!G25+'MED OBRA'!H26/[4]CyP!E22*'MED OBRA'!G26+'MED OBRA'!H27/[4]CyP!E22*'MED OBRA'!G27,4)</f>
        <v>0</v>
      </c>
      <c r="L22" s="670"/>
    </row>
    <row r="23" spans="1:12" ht="20.100000000000001" customHeight="1" x14ac:dyDescent="0.2">
      <c r="A23" s="738"/>
      <c r="B23" s="742"/>
      <c r="C23" s="743"/>
      <c r="D23" s="747"/>
      <c r="E23" s="639"/>
      <c r="F23" s="671" t="s">
        <v>2099</v>
      </c>
      <c r="G23" s="672">
        <v>0.2</v>
      </c>
      <c r="H23" s="673"/>
      <c r="I23" s="750"/>
      <c r="J23" s="753"/>
      <c r="K23" s="735"/>
      <c r="L23" s="670"/>
    </row>
    <row r="24" spans="1:12" ht="20.100000000000001" customHeight="1" x14ac:dyDescent="0.2">
      <c r="A24" s="738"/>
      <c r="B24" s="742"/>
      <c r="C24" s="743"/>
      <c r="D24" s="747"/>
      <c r="E24" s="639"/>
      <c r="F24" s="671" t="s">
        <v>2100</v>
      </c>
      <c r="G24" s="672">
        <v>0.2</v>
      </c>
      <c r="H24" s="673"/>
      <c r="I24" s="750"/>
      <c r="J24" s="753"/>
      <c r="K24" s="735"/>
      <c r="L24" s="670"/>
    </row>
    <row r="25" spans="1:12" ht="20.100000000000001" customHeight="1" x14ac:dyDescent="0.2">
      <c r="A25" s="738"/>
      <c r="B25" s="742"/>
      <c r="C25" s="743"/>
      <c r="D25" s="747"/>
      <c r="E25" s="639"/>
      <c r="F25" s="671" t="s">
        <v>2101</v>
      </c>
      <c r="G25" s="672">
        <v>0.1</v>
      </c>
      <c r="H25" s="673"/>
      <c r="I25" s="750"/>
      <c r="J25" s="753"/>
      <c r="K25" s="735"/>
      <c r="L25" s="670"/>
    </row>
    <row r="26" spans="1:12" ht="20.100000000000001" customHeight="1" x14ac:dyDescent="0.2">
      <c r="A26" s="738"/>
      <c r="B26" s="742"/>
      <c r="C26" s="743"/>
      <c r="D26" s="747"/>
      <c r="E26" s="639"/>
      <c r="F26" s="671" t="s">
        <v>2102</v>
      </c>
      <c r="G26" s="672">
        <v>0.2</v>
      </c>
      <c r="H26" s="673"/>
      <c r="I26" s="750"/>
      <c r="J26" s="753"/>
      <c r="K26" s="735"/>
      <c r="L26" s="670"/>
    </row>
    <row r="27" spans="1:12" ht="20.100000000000001" customHeight="1" thickBot="1" x14ac:dyDescent="0.25">
      <c r="A27" s="739"/>
      <c r="B27" s="744"/>
      <c r="C27" s="745"/>
      <c r="D27" s="748"/>
      <c r="E27" s="674"/>
      <c r="F27" s="675" t="s">
        <v>2103</v>
      </c>
      <c r="G27" s="676">
        <v>0.2</v>
      </c>
      <c r="H27" s="677"/>
      <c r="I27" s="751"/>
      <c r="J27" s="754"/>
      <c r="K27" s="736"/>
      <c r="L27" s="670"/>
    </row>
    <row r="28" spans="1:12" ht="20.100000000000001" customHeight="1" x14ac:dyDescent="0.2">
      <c r="A28" s="737">
        <f>[4]CyP!A23</f>
        <v>6</v>
      </c>
      <c r="B28" s="740" t="str">
        <f t="shared" si="0"/>
        <v>INSTALACION SANITARIA</v>
      </c>
      <c r="C28" s="741"/>
      <c r="D28" s="746">
        <f t="shared" si="1"/>
        <v>0.21428571428571427</v>
      </c>
      <c r="E28" s="666"/>
      <c r="F28" s="667" t="s">
        <v>2104</v>
      </c>
      <c r="G28" s="668">
        <v>0.2</v>
      </c>
      <c r="H28" s="669"/>
      <c r="I28" s="749"/>
      <c r="J28" s="752">
        <f>+K28-I28</f>
        <v>0</v>
      </c>
      <c r="K28" s="734">
        <f>+ROUND(H28/[4]CyP!E23*'MED OBRA'!G28+'MED OBRA'!H29/[4]CyP!E23*'MED OBRA'!G29+'MED OBRA'!H30/[4]CyP!E23*'MED OBRA'!G30+'MED OBRA'!H31/[4]CyP!E23*'MED OBRA'!G31+'MED OBRA'!H32/[4]CyP!E23*'MED OBRA'!G32,4)</f>
        <v>0</v>
      </c>
      <c r="L28" s="670"/>
    </row>
    <row r="29" spans="1:12" ht="20.100000000000001" customHeight="1" x14ac:dyDescent="0.2">
      <c r="A29" s="738"/>
      <c r="B29" s="742"/>
      <c r="C29" s="743"/>
      <c r="D29" s="747"/>
      <c r="E29" s="639"/>
      <c r="F29" s="671" t="s">
        <v>2105</v>
      </c>
      <c r="G29" s="672">
        <v>0.15</v>
      </c>
      <c r="H29" s="673"/>
      <c r="I29" s="750"/>
      <c r="J29" s="753"/>
      <c r="K29" s="735"/>
      <c r="L29" s="670"/>
    </row>
    <row r="30" spans="1:12" ht="20.100000000000001" customHeight="1" x14ac:dyDescent="0.2">
      <c r="A30" s="738"/>
      <c r="B30" s="742"/>
      <c r="C30" s="743"/>
      <c r="D30" s="747"/>
      <c r="E30" s="639"/>
      <c r="F30" s="671" t="s">
        <v>2106</v>
      </c>
      <c r="G30" s="672">
        <v>0.2</v>
      </c>
      <c r="H30" s="673"/>
      <c r="I30" s="750"/>
      <c r="J30" s="753"/>
      <c r="K30" s="735"/>
      <c r="L30" s="670"/>
    </row>
    <row r="31" spans="1:12" ht="20.100000000000001" customHeight="1" x14ac:dyDescent="0.2">
      <c r="A31" s="738"/>
      <c r="B31" s="742"/>
      <c r="C31" s="743"/>
      <c r="D31" s="747"/>
      <c r="E31" s="639"/>
      <c r="F31" s="671" t="s">
        <v>2107</v>
      </c>
      <c r="G31" s="672">
        <v>0.3</v>
      </c>
      <c r="H31" s="673"/>
      <c r="I31" s="750"/>
      <c r="J31" s="753"/>
      <c r="K31" s="735"/>
      <c r="L31" s="670"/>
    </row>
    <row r="32" spans="1:12" ht="20.100000000000001" customHeight="1" thickBot="1" x14ac:dyDescent="0.25">
      <c r="A32" s="739"/>
      <c r="B32" s="744"/>
      <c r="C32" s="745"/>
      <c r="D32" s="748"/>
      <c r="E32" s="674"/>
      <c r="F32" s="675" t="s">
        <v>2108</v>
      </c>
      <c r="G32" s="676">
        <v>0.15</v>
      </c>
      <c r="H32" s="677"/>
      <c r="I32" s="751"/>
      <c r="J32" s="754"/>
      <c r="K32" s="736"/>
      <c r="L32" s="670"/>
    </row>
    <row r="33" spans="1:12" ht="20.100000000000001" customHeight="1" x14ac:dyDescent="0.2">
      <c r="A33" s="737">
        <f>[4]CyP!A24</f>
        <v>7</v>
      </c>
      <c r="B33" s="740" t="str">
        <f>IFERROR(VLOOKUP(A33,Tabla_CyP,2,FALSE),"")</f>
        <v>INTALACION GAS</v>
      </c>
      <c r="C33" s="741"/>
      <c r="D33" s="746">
        <f>IFERROR(VLOOKUP(A33,Tabla_CyP,9,FALSE),0)</f>
        <v>0.25</v>
      </c>
      <c r="E33" s="666"/>
      <c r="F33" s="667" t="s">
        <v>2109</v>
      </c>
      <c r="G33" s="668">
        <v>0.3</v>
      </c>
      <c r="H33" s="669"/>
      <c r="I33" s="749"/>
      <c r="J33" s="752">
        <f>+K33-I33</f>
        <v>0</v>
      </c>
      <c r="K33" s="734">
        <f>ROUND(+H33/[4]CyP!E24*'MED OBRA'!G33+H34/[4]CyP!E24*'MED OBRA'!G34+'MED OBRA'!H35/[4]CyP!E24*'MED OBRA'!G35+'MED OBRA'!H36/[4]CyP!E24*'MED OBRA'!G36,4)</f>
        <v>0</v>
      </c>
      <c r="L33" s="670"/>
    </row>
    <row r="34" spans="1:12" ht="20.100000000000001" customHeight="1" x14ac:dyDescent="0.2">
      <c r="A34" s="738"/>
      <c r="B34" s="742"/>
      <c r="C34" s="743"/>
      <c r="D34" s="747"/>
      <c r="E34" s="639"/>
      <c r="F34" s="671" t="s">
        <v>2110</v>
      </c>
      <c r="G34" s="672">
        <v>0.3</v>
      </c>
      <c r="H34" s="673"/>
      <c r="I34" s="750"/>
      <c r="J34" s="753"/>
      <c r="K34" s="735"/>
      <c r="L34" s="670"/>
    </row>
    <row r="35" spans="1:12" ht="20.100000000000001" customHeight="1" x14ac:dyDescent="0.2">
      <c r="A35" s="738"/>
      <c r="B35" s="742"/>
      <c r="C35" s="743"/>
      <c r="D35" s="747"/>
      <c r="E35" s="639"/>
      <c r="F35" s="671" t="s">
        <v>2111</v>
      </c>
      <c r="G35" s="672">
        <v>0.15</v>
      </c>
      <c r="H35" s="673"/>
      <c r="I35" s="750"/>
      <c r="J35" s="753"/>
      <c r="K35" s="735"/>
      <c r="L35" s="670"/>
    </row>
    <row r="36" spans="1:12" ht="19.5" customHeight="1" thickBot="1" x14ac:dyDescent="0.25">
      <c r="A36" s="739"/>
      <c r="B36" s="744"/>
      <c r="C36" s="745"/>
      <c r="D36" s="748"/>
      <c r="E36" s="674"/>
      <c r="F36" s="675" t="s">
        <v>2112</v>
      </c>
      <c r="G36" s="676">
        <v>0.25</v>
      </c>
      <c r="H36" s="677"/>
      <c r="I36" s="751"/>
      <c r="J36" s="754"/>
      <c r="K36" s="736"/>
      <c r="L36" s="670"/>
    </row>
    <row r="37" spans="1:12" ht="20.100000000000001" customHeight="1" x14ac:dyDescent="0.2">
      <c r="A37" s="678" t="s">
        <v>3</v>
      </c>
      <c r="B37" s="679" t="s">
        <v>3</v>
      </c>
      <c r="C37" s="679"/>
      <c r="D37" s="680" t="s">
        <v>4</v>
      </c>
      <c r="E37" s="33"/>
      <c r="F37" s="33"/>
      <c r="G37" s="33"/>
      <c r="H37" s="647"/>
      <c r="I37" s="641"/>
      <c r="J37" s="641"/>
      <c r="K37" s="641"/>
    </row>
    <row r="38" spans="1:12" ht="20.100000000000001" customHeight="1" x14ac:dyDescent="0.2">
      <c r="A38" s="48" t="s">
        <v>3</v>
      </c>
      <c r="B38" s="46" t="s">
        <v>7</v>
      </c>
      <c r="C38" s="50"/>
      <c r="D38" s="681">
        <f>SUM(D13:D37)</f>
        <v>1</v>
      </c>
      <c r="E38" s="643"/>
      <c r="F38" s="643"/>
      <c r="G38" s="643"/>
      <c r="H38" s="682"/>
      <c r="I38" s="683">
        <f>+SUMPRODUCT(I13:I36,$D$13:$D$36)</f>
        <v>0</v>
      </c>
      <c r="J38" s="683">
        <f t="shared" ref="J38:K38" si="2">+SUMPRODUCT(J13:J36,$D$13:$D$36)</f>
        <v>0</v>
      </c>
      <c r="K38" s="683">
        <f t="shared" si="2"/>
        <v>0</v>
      </c>
    </row>
    <row r="39" spans="1:12" ht="20.100000000000001" customHeight="1" x14ac:dyDescent="0.2">
      <c r="A39" s="5"/>
      <c r="B39" s="5"/>
      <c r="C39" s="5"/>
      <c r="D39" s="5"/>
      <c r="E39" s="5"/>
      <c r="F39" s="5"/>
      <c r="G39" s="5"/>
      <c r="H39" s="647"/>
      <c r="I39" s="5"/>
      <c r="J39" s="5"/>
      <c r="K39" s="5"/>
    </row>
    <row r="40" spans="1:12" ht="20.100000000000001" customHeight="1" x14ac:dyDescent="0.2">
      <c r="E40" s="26"/>
      <c r="F40" s="26"/>
      <c r="G40" s="26"/>
      <c r="H40" s="684"/>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2022-09-07T10:50:34Z</dcterms:modified>
</cp:coreProperties>
</file>