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ers\usuario\Desktop\CONTADURÍA 2020\PLIEGOS\SECRETARÍA TÉCNICA\CONCURSO 02-2021\"/>
    </mc:Choice>
  </mc:AlternateContent>
  <bookViews>
    <workbookView xWindow="0" yWindow="0" windowWidth="15360" windowHeight="715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CyP!$A$1:$A$34</definedName>
    <definedName name="_xlnm._FilterDatabase" localSheetId="1" hidden="1">Datos!#REF!</definedName>
    <definedName name="_xlnm._FilterDatabase" localSheetId="2" hidden="1">Propuesta!#REF!</definedName>
    <definedName name="_xlnm._FilterDatabase" localSheetId="5" hidden="1">PTyCI!$D$1:$D$26</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AP!$A$1:$G$150</definedName>
    <definedName name="_xlnm.Print_Area" localSheetId="3">CyP!$A$17:$I$34</definedName>
    <definedName name="_xlnm.Print_Area" localSheetId="1">Datos!$B$1:$J$56</definedName>
    <definedName name="_xlnm.Print_Area" localSheetId="8">'MED OBRA'!$A$1:$K$38</definedName>
    <definedName name="_xlnm.Print_Area" localSheetId="7">'MED SIGOP'!$A$1:$H$21</definedName>
    <definedName name="_xlnm.Print_Area" localSheetId="2">Propuesta!$A$1:$G$31</definedName>
    <definedName name="_xlnm.Print_Area" localSheetId="5">PTyCI!$A$13:$J$23</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CyP!$F$21</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CyP!$H$21</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J14" i="9" l="1"/>
  <c r="J15" i="9"/>
  <c r="J16" i="9"/>
  <c r="J17" i="9"/>
  <c r="J18" i="9"/>
  <c r="J21" i="9"/>
  <c r="F145" i="6"/>
  <c r="G145" i="6" s="1"/>
  <c r="D145" i="6"/>
  <c r="B145" i="6"/>
  <c r="A145" i="6"/>
  <c r="F144" i="6"/>
  <c r="G144" i="6" s="1"/>
  <c r="D144" i="6"/>
  <c r="B144" i="6"/>
  <c r="A144" i="6"/>
  <c r="F139" i="6"/>
  <c r="G139" i="6" s="1"/>
  <c r="D139" i="6"/>
  <c r="B139" i="6"/>
  <c r="A139" i="6"/>
  <c r="F138" i="6"/>
  <c r="G138" i="6" s="1"/>
  <c r="D138" i="6"/>
  <c r="B138" i="6"/>
  <c r="A138" i="6"/>
  <c r="F137" i="6"/>
  <c r="G137" i="6" s="1"/>
  <c r="D137" i="6"/>
  <c r="B137" i="6"/>
  <c r="A137"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F118"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F105"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G87" i="6"/>
  <c r="F87" i="6"/>
  <c r="E87" i="6"/>
  <c r="B80" i="6"/>
  <c r="G79" i="6"/>
  <c r="B79" i="6"/>
  <c r="B78" i="6"/>
  <c r="B77" i="6"/>
  <c r="A15" i="9"/>
  <c r="A14" i="9"/>
  <c r="A16" i="9"/>
  <c r="G119" i="6" l="1"/>
  <c r="G120" i="6"/>
  <c r="G118" i="6"/>
  <c r="G123" i="6"/>
  <c r="G124" i="6"/>
  <c r="G146" i="6"/>
  <c r="E98" i="6"/>
  <c r="G121" i="6"/>
  <c r="G122" i="6"/>
  <c r="G98" i="6"/>
  <c r="G140" i="6"/>
  <c r="A14" i="27"/>
  <c r="B14" i="27" s="1"/>
  <c r="A15" i="27"/>
  <c r="D15" i="27" s="1"/>
  <c r="A16" i="27"/>
  <c r="B16" i="27" s="1"/>
  <c r="A17" i="27"/>
  <c r="A18" i="27"/>
  <c r="A19" i="27"/>
  <c r="A13" i="27"/>
  <c r="A19" i="2"/>
  <c r="A20" i="2"/>
  <c r="D14" i="27" l="1"/>
  <c r="D16" i="27"/>
  <c r="G125" i="6"/>
  <c r="D18" i="27"/>
  <c r="B18" i="27"/>
  <c r="E20" i="2"/>
  <c r="E19" i="2"/>
  <c r="D19" i="27"/>
  <c r="D17" i="27"/>
  <c r="B19" i="27"/>
  <c r="B17" i="27"/>
  <c r="B15" i="27"/>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H19" i="27" s="1"/>
  <c r="C6" i="28"/>
  <c r="C5" i="28"/>
  <c r="C4" i="28"/>
  <c r="C3" i="28"/>
  <c r="C2" i="28"/>
  <c r="C1" i="28"/>
  <c r="F10" i="27"/>
  <c r="G6" i="27"/>
  <c r="C6" i="27"/>
  <c r="C5" i="27"/>
  <c r="C4" i="27"/>
  <c r="C3" i="27"/>
  <c r="C2" i="27"/>
  <c r="C1" i="27"/>
  <c r="C1" i="26"/>
  <c r="H15" i="27" l="1"/>
  <c r="D13" i="28"/>
  <c r="G15" i="27"/>
  <c r="G16" i="27"/>
  <c r="H18" i="27"/>
  <c r="H16" i="27"/>
  <c r="G19" i="27"/>
  <c r="G17" i="27"/>
  <c r="H14" i="27"/>
  <c r="G18" i="27"/>
  <c r="F19" i="27"/>
  <c r="F18" i="27"/>
  <c r="H17" i="27"/>
  <c r="F15" i="27"/>
  <c r="G14" i="27"/>
  <c r="F17" i="27"/>
  <c r="F16" i="27"/>
  <c r="F14" i="27"/>
  <c r="B13" i="28"/>
  <c r="B22" i="28"/>
  <c r="D17" i="28"/>
  <c r="B19" i="28"/>
  <c r="J13" i="28"/>
  <c r="D14" i="28"/>
  <c r="D28" i="28"/>
  <c r="B33" i="28"/>
  <c r="B26" i="2"/>
  <c r="B30" i="2"/>
  <c r="E30" i="2"/>
  <c r="E26" i="2"/>
  <c r="K38" i="28" l="1"/>
  <c r="I38" i="28"/>
  <c r="J38" i="28"/>
  <c r="K6" i="28" s="1"/>
  <c r="H6" i="27" s="1"/>
  <c r="D38" i="28"/>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8" i="2"/>
  <c r="A13" i="9"/>
  <c r="A17" i="2"/>
  <c r="D15" i="9" l="1"/>
  <c r="D14" i="9"/>
  <c r="H19" i="9" s="1"/>
  <c r="D16" i="9"/>
  <c r="E18" i="2"/>
  <c r="E29" i="2"/>
  <c r="B29" i="2"/>
  <c r="E27" i="2"/>
  <c r="B27" i="2"/>
  <c r="E24" i="2"/>
  <c r="B24"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F19" i="9" l="1"/>
  <c r="G19" i="9"/>
  <c r="D13" i="27"/>
  <c r="D21" i="27" s="1"/>
  <c r="B13" i="27"/>
  <c r="H13" i="27"/>
  <c r="F13" i="27"/>
  <c r="G13" i="27"/>
  <c r="D31" i="6"/>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G21" i="27" l="1"/>
  <c r="H21" i="27"/>
  <c r="F21" i="27"/>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5" i="6" l="1"/>
  <c r="G105" i="6" s="1"/>
  <c r="G114" i="6" s="1"/>
  <c r="G148" i="6" s="1"/>
  <c r="G149" i="6" s="1"/>
  <c r="G65" i="6"/>
  <c r="G50" i="6"/>
  <c r="B28"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7" i="18"/>
  <c r="A18" i="18"/>
  <c r="A19" i="18"/>
  <c r="F17" i="18" l="1"/>
  <c r="E17" i="18" s="1"/>
  <c r="D17" i="18"/>
  <c r="K41" i="21"/>
  <c r="M64" i="20"/>
  <c r="O49" i="21"/>
  <c r="K44" i="20"/>
  <c r="I45" i="21"/>
  <c r="I60" i="21"/>
  <c r="I39" i="21"/>
  <c r="I63" i="21"/>
  <c r="I64" i="2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6" i="18"/>
  <c r="G17" i="18" l="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33"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20" i="2" s="1"/>
  <c r="D35" i="15"/>
  <c r="D18" i="2" s="1"/>
  <c r="C17" i="18" s="1"/>
  <c r="D130" i="15"/>
  <c r="D124" i="15"/>
  <c r="D118" i="15"/>
  <c r="D110" i="15"/>
  <c r="D104" i="15"/>
  <c r="D96" i="15"/>
  <c r="D90" i="15"/>
  <c r="D82" i="15"/>
  <c r="D74" i="15"/>
  <c r="D68" i="15"/>
  <c r="D60" i="15"/>
  <c r="D54" i="15"/>
  <c r="D46" i="15"/>
  <c r="D40"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B20" i="2" s="1"/>
  <c r="C35" i="15"/>
  <c r="B18" i="2"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28" i="15"/>
  <c r="D126" i="15"/>
  <c r="D122" i="15"/>
  <c r="D116" i="15"/>
  <c r="D114" i="15"/>
  <c r="D108" i="15"/>
  <c r="D102" i="15"/>
  <c r="D100" i="15"/>
  <c r="D94" i="15"/>
  <c r="D88" i="15"/>
  <c r="D86" i="15"/>
  <c r="D80" i="15"/>
  <c r="D76" i="15"/>
  <c r="D72" i="15"/>
  <c r="D66" i="15"/>
  <c r="D62" i="15"/>
  <c r="D58" i="15"/>
  <c r="D52" i="15"/>
  <c r="D48" i="15"/>
  <c r="D44" i="15"/>
  <c r="D38" i="15"/>
  <c r="D36" i="15"/>
  <c r="D19" i="2" s="1"/>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B19" i="2" s="1"/>
  <c r="B15" i="9" s="1"/>
  <c r="C34" i="15"/>
  <c r="D120" i="15"/>
  <c r="D112" i="15"/>
  <c r="D106" i="15"/>
  <c r="D98" i="15"/>
  <c r="D92" i="15"/>
  <c r="D84" i="15"/>
  <c r="D78" i="15"/>
  <c r="D70" i="15"/>
  <c r="D64" i="15"/>
  <c r="D56" i="15"/>
  <c r="D50" i="15"/>
  <c r="D42" i="15"/>
  <c r="D34" i="15"/>
  <c r="A34" i="15"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16" i="9" l="1"/>
  <c r="B14" i="9"/>
  <c r="B17" i="18"/>
  <c r="A35" i="15"/>
  <c r="A36" i="15" s="1"/>
  <c r="A37" i="15" s="1"/>
  <c r="A38" i="15" s="1"/>
  <c r="A39" i="15" s="1"/>
  <c r="A40" i="15" s="1"/>
  <c r="A41" i="15" s="1"/>
  <c r="A42" i="15" s="1"/>
  <c r="A43" i="15" s="1"/>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J13" i="9"/>
  <c r="A48" i="15" l="1"/>
  <c r="B64" i="6"/>
  <c r="B62" i="6"/>
  <c r="B60" i="6"/>
  <c r="B58" i="6"/>
  <c r="B56" i="6"/>
  <c r="B54" i="6"/>
  <c r="B59" i="6"/>
  <c r="B55" i="6"/>
  <c r="B63" i="6"/>
  <c r="B61" i="6"/>
  <c r="B57" i="6"/>
  <c r="G11" i="9"/>
  <c r="H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B17" i="2" l="1"/>
  <c r="D17" i="2"/>
  <c r="E17" i="2"/>
  <c r="F10" i="2"/>
  <c r="A94" i="15"/>
  <c r="A95" i="15" l="1"/>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82" i="6" l="1"/>
  <c r="D100" i="6"/>
  <c r="G39" i="6"/>
  <c r="G73" i="6" s="1"/>
  <c r="G74" i="6" s="1"/>
  <c r="B16" i="18"/>
  <c r="B13" i="9"/>
  <c r="A148" i="6" l="1"/>
  <c r="B81" i="6"/>
  <c r="G82" i="6"/>
  <c r="C82" i="6"/>
  <c r="B148" i="6" s="1"/>
  <c r="D16" i="18"/>
  <c r="F148" i="6" l="1"/>
  <c r="F149" i="6"/>
  <c r="E100" i="6"/>
  <c r="H17" i="2"/>
  <c r="H21" i="2" s="1"/>
  <c r="F16" i="18" l="1"/>
  <c r="E16" i="18" s="1"/>
  <c r="G16" i="18" l="1"/>
  <c r="A34" i="2"/>
  <c r="C81" i="6" l="1"/>
  <c r="C16" i="18"/>
  <c r="B18" i="18"/>
  <c r="B19" i="18"/>
  <c r="D18" i="18"/>
  <c r="C19" i="18"/>
  <c r="F18" i="18"/>
  <c r="E18" i="18" s="1"/>
  <c r="D19" i="18"/>
  <c r="C18" i="18"/>
  <c r="F19" i="18"/>
  <c r="E19" i="18" s="1"/>
  <c r="G7" i="6"/>
  <c r="C7" i="6"/>
  <c r="B73" i="6" s="1"/>
  <c r="C6" i="6"/>
  <c r="A22" i="18"/>
  <c r="I17" i="2"/>
  <c r="H32" i="2"/>
  <c r="H23" i="2"/>
  <c r="H24" i="2" s="1"/>
  <c r="H25" i="2" s="1"/>
  <c r="E22" i="9"/>
  <c r="E23" i="9" s="1"/>
  <c r="C11" i="2"/>
  <c r="C2" i="26" s="1"/>
  <c r="G19" i="18" l="1"/>
  <c r="G18" i="18"/>
  <c r="H27" i="2"/>
  <c r="H26" i="2"/>
  <c r="I21" i="2"/>
  <c r="D13" i="9"/>
  <c r="E25" i="6"/>
  <c r="F74" i="6"/>
  <c r="F73" i="6"/>
  <c r="G20" i="18" l="1"/>
  <c r="H22" i="9"/>
  <c r="J19" i="9"/>
  <c r="D17" i="9"/>
  <c r="H28" i="2"/>
  <c r="H30" i="2" l="1"/>
  <c r="H29" i="2"/>
  <c r="F20" i="9"/>
  <c r="G20" i="9" s="1"/>
  <c r="H20" i="9" s="1"/>
  <c r="F22" i="9"/>
  <c r="F23" i="9" l="1"/>
  <c r="J22" i="9"/>
  <c r="J20" i="9"/>
  <c r="F17" i="2" l="1"/>
  <c r="H23" i="9"/>
  <c r="J23" i="9"/>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<sst xmlns="http://schemas.openxmlformats.org/spreadsheetml/2006/main" count="4908" uniqueCount="2129">
  <si>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</si>
  <si>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</si>
  <si>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</si>
  <si>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</si>
  <si>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</si>
  <si>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</si>
  <si>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</si>
  <si>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</si>
  <si>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</si>
  <si>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</si>
  <si>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</si>
  <si>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</si>
  <si>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</si>
  <si>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</si>
  <si>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</si>
  <si>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</si>
  <si>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</si>
  <si>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</si>
  <si>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</si>
  <si>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</si>
  <si>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</si>
  <si>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</si>
  <si>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</si>
  <si>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</si>
  <si>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</si>
  <si>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</si>
  <si>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</si>
  <si>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</si>
  <si>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</si>
  <si>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</si>
  <si>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</si>
  <si>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</si>
  <si>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</si>
  <si>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</si>
  <si>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</si>
  <si>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</si>
  <si>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</si>
  <si>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</si>
  <si>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</si>
  <si>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</si>
  <si>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</si>
  <si>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</si>
  <si>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</si>
  <si>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</si>
  <si>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</si>
  <si>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</si>
  <si>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</si>
  <si>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</si>
  <si>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</si>
  <si>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</si>
  <si>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</si>
  <si>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</si>
  <si>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</si>
  <si>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</si>
  <si>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</si>
  <si>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</si>
  <si>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</si>
  <si>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</si>
  <si>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</si>
  <si>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</si>
  <si>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</si>
  <si>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</si>
  <si>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</si>
  <si>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</si>
  <si>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</si>
  <si>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</si>
  <si>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</si>
  <si>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</si>
  <si>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</si>
  <si>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</si>
  <si>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</si>
  <si>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</si>
  <si>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</si>
  <si>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</si>
  <si>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</si>
  <si>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</si>
  <si>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</si>
  <si>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</si>
  <si>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</si>
  <si>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</si>
  <si>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</si>
  <si>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</si>
  <si>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</si>
  <si>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</si>
  <si>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</si>
  <si>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</si>
  <si>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</si>
  <si>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</si>
  <si>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</si>
  <si>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</si>
  <si>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</si>
  <si>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</si>
  <si>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</si>
  <si>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</si>
  <si>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</si>
  <si>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</si>
  <si>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</si>
  <si>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</si>
  <si>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</si>
  <si>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</si>
  <si>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</si>
  <si>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</si>
  <si>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</si>
  <si>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</si>
  <si>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</si>
  <si>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</si>
  <si>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</si>
  <si>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</si>
  <si>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</si>
  <si>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</si>
  <si>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</si>
  <si>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</si>
  <si>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</si>
  <si>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</si>
  <si>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</si>
  <si>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</si>
  <si>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</si>
  <si>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</si>
  <si>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</si>
  <si>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</si>
  <si>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</si>
  <si>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</si>
  <si>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</si>
  <si>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</si>
  <si>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</si>
  <si>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</si>
  <si>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</si>
  <si>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</si>
  <si>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</si>
  <si>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</si>
  <si>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</si>
  <si>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</si>
  <si>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</si>
  <si>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</si>
  <si>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</si>
  <si>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</si>
  <si>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</si>
  <si>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</si>
  <si>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</si>
  <si>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</si>
  <si>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</si>
  <si>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</si>
  <si>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</si>
  <si>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</si>
  <si>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</si>
  <si>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</si>
  <si>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</si>
  <si>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</si>
  <si>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</si>
  <si>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</si>
  <si>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</si>
  <si>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</si>
  <si>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</si>
  <si>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</si>
  <si>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</si>
  <si>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</si>
  <si>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</si>
  <si>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</si>
  <si>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</si>
  <si>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</si>
  <si>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</si>
  <si>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</si>
  <si>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</si>
  <si>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</si>
  <si>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</si>
  <si>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</si>
  <si>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</si>
  <si>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</si>
  <si>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</si>
  <si>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</si>
  <si>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</si>
  <si>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</si>
  <si>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</si>
  <si>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</si>
  <si>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</si>
  <si>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</si>
  <si>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</si>
  <si>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</si>
  <si>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</si>
  <si>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</si>
  <si>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</si>
  <si>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</si>
  <si>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</si>
  <si>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</si>
  <si>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</si>
  <si>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</si>
  <si>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</si>
  <si>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</si>
  <si>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</si>
  <si>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</si>
  <si>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</si>
  <si>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</si>
  <si>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</si>
  <si>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</si>
  <si>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</si>
  <si>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</si>
  <si>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</si>
  <si>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</si>
  <si>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</si>
  <si>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</si>
  <si>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</si>
  <si>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</si>
  <si>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</si>
  <si>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</si>
  <si>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</si>
  <si>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</si>
  <si>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</si>
  <si>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</si>
  <si>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</si>
  <si>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</si>
  <si>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</si>
  <si>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</si>
  <si>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</si>
  <si>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</si>
  <si>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</si>
  <si>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</si>
  <si>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</si>
  <si>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</si>
  <si>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</si>
  <si>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</si>
  <si>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</si>
  <si>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</si>
  <si>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</si>
  <si>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</si>
  <si>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</si>
  <si>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</si>
  <si>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</si>
  <si>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</si>
  <si>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</si>
  <si>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</si>
  <si>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</si>
  <si>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</si>
  <si>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</si>
  <si>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</si>
  <si>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</si>
  <si>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</si>
  <si>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</si>
  <si>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</si>
  <si>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</si>
  <si>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</si>
  <si>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</si>
  <si>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</si>
  <si>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</si>
  <si>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</si>
  <si>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</si>
  <si>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</si>
  <si>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</si>
  <si>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</si>
  <si>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</si>
  <si>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</si>
  <si>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</si>
  <si>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</si>
  <si>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</si>
  <si>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</si>
  <si>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</si>
  <si>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</si>
  <si>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</si>
  <si>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</si>
  <si>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</si>
  <si>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</si>
  <si>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</si>
  <si>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</si>
  <si>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</si>
  <si>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</si>
  <si>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</si>
  <si>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</si>
  <si>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</si>
  <si>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</si>
  <si>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</si>
  <si>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</si>
  <si>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</si>
  <si>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</si>
  <si>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</si>
  <si>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</si>
  <si>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</si>
  <si>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</si>
  <si>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</si>
  <si>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</si>
  <si>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</si>
  <si>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</si>
  <si>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</si>
  <si>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</si>
  <si>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</si>
  <si>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</si>
  <si>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</si>
  <si>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</si>
  <si>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</si>
  <si>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</si>
  <si>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</si>
  <si>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</si>
  <si>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</si>
  <si>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</si>
  <si>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</si>
  <si>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</si>
  <si>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</si>
  <si>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</si>
  <si>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</si>
  <si>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</si>
  <si>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</si>
  <si>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</si>
  <si>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</si>
  <si>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</si>
  <si>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</si>
  <si>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</si>
  <si>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</si>
  <si>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</si>
  <si>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</si>
  <si>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</si>
  <si>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</si>
  <si>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</si>
  <si>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</si>
  <si>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</si>
  <si>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</si>
  <si>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</si>
  <si>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</si>
  <si>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</si>
  <si>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</si>
  <si>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</si>
  <si>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</si>
  <si>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</si>
  <si>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</si>
  <si>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</si>
  <si>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</si>
  <si>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</si>
  <si>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</si>
  <si>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</si>
  <si>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</si>
  <si>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</si>
  <si>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</si>
  <si>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</si>
  <si>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</si>
  <si>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</si>
  <si>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</si>
  <si>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</si>
  <si>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</si>
  <si>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</si>
  <si>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</si>
  <si>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</si>
  <si>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</si>
  <si>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</si>
  <si>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</si>
  <si>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</si>
  <si>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</si>
  <si>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</si>
  <si>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</si>
  <si>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</si>
  <si>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</si>
  <si>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</si>
  <si>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</si>
  <si>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</si>
  <si>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</si>
  <si>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</si>
  <si>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</si>
  <si>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</si>
  <si>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</si>
  <si>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</si>
  <si>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</si>
  <si>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</si>
  <si>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</si>
  <si>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</si>
  <si>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</si>
  <si>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</si>
  <si>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</si>
  <si>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</si>
  <si>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</si>
  <si>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</si>
  <si>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</si>
  <si>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</si>
  <si>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</si>
  <si>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</si>
  <si>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</si>
  <si>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</si>
  <si>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</si>
  <si>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</si>
  <si>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</si>
  <si>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</si>
  <si>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</si>
  <si>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</si>
  <si>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</si>
  <si>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</si>
  <si>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</si>
  <si>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</si>
  <si>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</si>
  <si>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</si>
  <si>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</si>
  <si>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</si>
  <si>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</si>
  <si>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</si>
  <si>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</si>
  <si>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</si>
  <si>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</si>
  <si>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</si>
  <si>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</si>
  <si>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</si>
  <si>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</si>
  <si>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</si>
  <si>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</si>
  <si>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</si>
  <si>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</si>
  <si>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</si>
  <si>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</si>
  <si>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</si>
  <si>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</si>
  <si>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</si>
  <si>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</si>
  <si>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</si>
  <si>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</si>
  <si>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</si>
  <si>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</si>
  <si>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</si>
  <si>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</si>
  <si>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</si>
  <si>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</si>
  <si>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</si>
  <si>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</si>
  <si>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</si>
  <si>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</si>
  <si>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</si>
  <si>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</si>
  <si>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</si>
  <si>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</si>
  <si>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</si>
  <si>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</si>
  <si>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</si>
  <si>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</si>
  <si>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</si>
  <si>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</si>
  <si>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</si>
  <si>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</si>
  <si>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</si>
  <si>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</si>
  <si>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</si>
  <si>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</si>
  <si>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</si>
  <si>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</si>
  <si>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</si>
  <si>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</si>
  <si>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</si>
  <si>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</si>
  <si>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</si>
  <si>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</si>
  <si>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</si>
  <si>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</si>
  <si>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</si>
  <si>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</si>
  <si>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</si>
  <si>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</si>
  <si>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</si>
  <si>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</si>
  <si>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</si>
  <si>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</si>
  <si>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</si>
  <si>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</si>
  <si>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</si>
  <si>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</si>
  <si>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</si>
  <si>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</si>
  <si>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</si>
  <si>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</si>
  <si>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</si>
  <si>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</si>
  <si>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</si>
  <si>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</si>
  <si>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</si>
  <si>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</si>
  <si>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</si>
  <si>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</si>
  <si>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</si>
  <si>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</si>
  <si>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</si>
  <si>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</si>
  <si>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</si>
  <si>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</si>
  <si>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</si>
  <si>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</si>
  <si>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</si>
  <si>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</si>
  <si>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</si>
  <si>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</si>
  <si>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</si>
  <si>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</si>
  <si>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</si>
  <si>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</si>
  <si>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</si>
  <si>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</si>
  <si>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</si>
  <si>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</si>
  <si>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</si>
  <si>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</si>
  <si>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</si>
  <si>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</si>
  <si>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</si>
  <si>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</si>
  <si>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</si>
  <si>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</si>
  <si>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</si>
  <si>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</si>
  <si>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</si>
  <si>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</si>
  <si>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</si>
  <si>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</si>
  <si>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</si>
  <si>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</si>
  <si>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</si>
  <si>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</si>
  <si>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</si>
  <si>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</si>
  <si>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</si>
  <si>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</si>
  <si>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</si>
  <si>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</si>
  <si>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</si>
  <si>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</si>
  <si>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</si>
  <si>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</si>
  <si>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</si>
  <si>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</si>
  <si>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</si>
  <si>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</si>
  <si>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</si>
  <si>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</si>
  <si>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</si>
  <si>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</si>
  <si>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</si>
  <si>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</si>
  <si>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</si>
  <si>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</si>
  <si>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</si>
  <si>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</si>
  <si>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</si>
  <si>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</si>
  <si>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</si>
  <si>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</si>
  <si>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</si>
  <si>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</si>
  <si>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</si>
  <si>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</si>
  <si>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</si>
  <si>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</si>
  <si>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</si>
  <si>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</si>
  <si>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</si>
  <si>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</si>
  <si>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</si>
  <si>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</si>
  <si>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</si>
  <si>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</si>
  <si>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</si>
  <si>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</si>
  <si>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</si>
  <si>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</si>
  <si>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</si>
  <si>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</si>
  <si>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</si>
  <si>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</si>
  <si>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</si>
  <si>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</si>
  <si>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</si>
  <si>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</si>
  <si>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</si>
  <si>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</si>
  <si>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</si>
  <si>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</si>
  <si>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</si>
  <si>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</si>
  <si>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</si>
  <si>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</si>
  <si>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</si>
  <si>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</si>
  <si>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</si>
  <si>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</si>
  <si>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</si>
  <si>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</si>
  <si>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</si>
  <si>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</si>
  <si>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</si>
  <si>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</si>
  <si>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</si>
  <si>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</si>
  <si>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</si>
  <si>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</si>
  <si>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</si>
  <si>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</si>
  <si>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</si>
  <si>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</si>
  <si>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</si>
  <si>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</si>
  <si>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</si>
  <si>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</si>
  <si>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</si>
  <si>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</si>
  <si>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</si>
  <si>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</si>
  <si>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</si>
  <si>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</si>
  <si>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</si>
  <si>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</si>
  <si>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</si>
  <si>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</si>
  <si>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</si>
  <si>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</si>
  <si>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</si>
  <si>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</si>
  <si>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</si>
  <si>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</si>
  <si>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</si>
  <si>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</si>
  <si>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</si>
  <si>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</si>
  <si>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</si>
  <si>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</si>
  <si>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</si>
  <si>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</si>
  <si>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</si>
  <si>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</si>
  <si>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</si>
  <si>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</si>
  <si>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</si>
  <si>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</si>
  <si>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</si>
  <si>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</si>
  <si>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</si>
  <si>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</si>
  <si>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</si>
  <si>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</si>
  <si>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</si>
  <si>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</si>
  <si>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</si>
  <si>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</si>
  <si>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</si>
  <si>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</si>
  <si>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</si>
  <si>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</si>
  <si>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</si>
  <si>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</si>
  <si>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</si>
  <si>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</si>
  <si>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</si>
  <si>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</si>
  <si>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</si>
  <si>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</si>
  <si>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</si>
  <si>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</si>
  <si>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</si>
  <si>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</si>
  <si>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</si>
  <si>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</si>
  <si>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</si>
  <si>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</si>
  <si>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</si>
  <si>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</si>
  <si>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</si>
  <si>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</si>
  <si>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</si>
  <si>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</si>
  <si>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</si>
  <si>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</si>
  <si>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</si>
  <si>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</si>
  <si>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</si>
  <si>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</si>
  <si>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</si>
  <si>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</si>
  <si>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</si>
  <si>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</si>
  <si>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</si>
  <si>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</si>
  <si>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</si>
  <si>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</si>
  <si>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</si>
  <si>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</si>
  <si>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</si>
  <si>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</si>
  <si>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</si>
  <si>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</si>
  <si>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</si>
  <si>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</si>
  <si>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</si>
  <si>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</si>
  <si>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</si>
  <si>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</si>
  <si>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</si>
  <si>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</si>
  <si>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</si>
  <si>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</si>
  <si>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</si>
  <si>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</si>
  <si>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</si>
  <si>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</si>
  <si>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</si>
  <si>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</si>
  <si>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</si>
  <si>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</si>
  <si>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</si>
  <si>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</si>
  <si>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</si>
  <si>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</si>
  <si>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</si>
  <si>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</si>
  <si>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</si>
  <si>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</si>
  <si>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</si>
  <si>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</si>
  <si>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</si>
  <si>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</si>
  <si>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</si>
  <si>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</si>
  <si>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</si>
  <si>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</si>
  <si>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</si>
  <si>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</si>
  <si>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</si>
  <si>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</si>
  <si>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</si>
  <si>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</si>
  <si>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</si>
  <si>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</si>
  <si>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</si>
  <si>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</si>
  <si>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</si>
  <si>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</si>
  <si>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</si>
  <si>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</si>
  <si>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</si>
  <si>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</si>
  <si>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</si>
  <si>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</si>
  <si>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</si>
  <si>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</si>
  <si>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</si>
  <si>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</si>
  <si>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</si>
  <si>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</si>
  <si>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</si>
  <si>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</si>
  <si>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</si>
  <si>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</si>
  <si>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</si>
  <si>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</si>
  <si>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</si>
  <si>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</si>
  <si>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</si>
  <si>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</si>
  <si>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</si>
  <si>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</si>
  <si>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</si>
  <si>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</si>
  <si>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</si>
  <si>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</si>
  <si>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</si>
  <si>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</si>
  <si>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</si>
  <si>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</si>
  <si>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</si>
  <si>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</si>
  <si>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</si>
  <si>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</si>
  <si>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</si>
  <si>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</si>
  <si>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</si>
  <si>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</si>
  <si>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</si>
  <si>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</si>
  <si>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</si>
  <si>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</si>
  <si>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</si>
  <si>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</si>
  <si>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</si>
  <si>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</si>
  <si>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</si>
  <si>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</si>
  <si>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</si>
  <si>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</si>
  <si>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</si>
  <si>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</si>
  <si>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</si>
  <si>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</si>
  <si>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</si>
  <si>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</si>
  <si>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</si>
  <si>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</si>
  <si>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</si>
  <si>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</si>
  <si>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</si>
  <si>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</si>
  <si>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</si>
  <si>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</si>
  <si>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</si>
  <si>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</si>
  <si>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</si>
  <si>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</si>
  <si>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</si>
  <si>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</si>
  <si>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</si>
  <si>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</si>
  <si>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</si>
  <si>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</si>
  <si>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</si>
  <si>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</si>
  <si>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</si>
  <si>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</si>
  <si>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</si>
  <si>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</si>
  <si>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</si>
  <si>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</si>
  <si>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</si>
  <si>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</si>
  <si>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</si>
  <si>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</si>
  <si>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</si>
  <si>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</si>
  <si>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</si>
  <si>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</si>
  <si>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</si>
  <si>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</si>
  <si>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</si>
  <si>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</si>
  <si>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</si>
  <si>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</si>
  <si>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</si>
  <si>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</si>
  <si>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</si>
  <si>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</si>
  <si>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</si>
  <si>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</si>
  <si>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</si>
  <si>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</si>
  <si>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</si>
  <si>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</si>
  <si>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</si>
  <si>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</si>
  <si>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</si>
  <si>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</si>
  <si>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</si>
  <si>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</si>
  <si>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</si>
  <si>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</si>
  <si>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</si>
  <si>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</si>
  <si>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</si>
  <si>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</si>
  <si>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</si>
  <si>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</si>
  <si>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</si>
  <si>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</si>
  <si>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</si>
  <si>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</si>
  <si>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</si>
  <si>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</si>
  <si>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</si>
  <si>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</si>
  <si>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</si>
  <si>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</si>
  <si>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</si>
  <si>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</si>
  <si>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</si>
  <si>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</si>
  <si>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</si>
  <si>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</si>
  <si>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</si>
  <si>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</si>
  <si>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</si>
  <si>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</si>
  <si>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</si>
  <si>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</si>
  <si>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</si>
  <si>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</si>
  <si>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</si>
  <si>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</si>
  <si>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</si>
  <si>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</si>
  <si>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</si>
  <si>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</si>
  <si>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</si>
  <si>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</si>
  <si>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</si>
  <si>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</si>
  <si>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</si>
  <si>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</si>
  <si>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</si>
  <si>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</si>
  <si>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</si>
  <si>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</si>
  <si>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</si>
  <si>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</si>
  <si>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</si>
  <si>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</si>
  <si>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</si>
  <si>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</si>
  <si>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</si>
  <si>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</si>
  <si>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</si>
  <si>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</si>
  <si>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</si>
  <si>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</si>
  <si>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</si>
  <si>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</si>
  <si>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</si>
  <si>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</si>
  <si>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</si>
  <si>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</si>
  <si>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</si>
  <si>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</si>
  <si>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</si>
  <si>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</si>
  <si>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</si>
  <si>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</si>
  <si>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</si>
  <si>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</si>
  <si>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</si>
  <si>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</si>
  <si>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</si>
  <si>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</si>
  <si>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</si>
  <si>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</si>
  <si>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</si>
  <si>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</si>
  <si>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</si>
  <si>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</si>
  <si>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</si>
  <si>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</si>
  <si>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</si>
  <si>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</si>
  <si>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</si>
  <si>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</si>
  <si>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</si>
  <si>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</si>
  <si>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</si>
  <si>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</si>
  <si>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</si>
  <si>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</si>
  <si>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</si>
  <si>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</si>
  <si>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</si>
  <si>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</si>
  <si>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</si>
  <si>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</si>
  <si>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</si>
  <si>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</si>
  <si>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</si>
  <si>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</si>
  <si>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</si>
  <si>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</si>
  <si>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</si>
  <si>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</si>
  <si>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</si>
  <si>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</si>
  <si>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</si>
  <si>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</si>
  <si>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</si>
  <si>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</si>
  <si>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</si>
  <si>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</si>
  <si>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</si>
  <si>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</si>
  <si>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</si>
  <si>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</si>
  <si>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</si>
  <si>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</si>
  <si>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</si>
  <si>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</si>
  <si>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</si>
  <si>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</si>
  <si>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</si>
  <si>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</si>
  <si>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</si>
  <si>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</si>
  <si>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</si>
  <si>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</si>
  <si>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</si>
  <si>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</si>
  <si>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</si>
  <si>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</si>
  <si>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</si>
  <si>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</si>
  <si>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</si>
  <si>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</si>
  <si>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</si>
  <si>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</si>
  <si>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</si>
  <si>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</si>
  <si>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</si>
  <si>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</si>
  <si>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</si>
  <si>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</si>
  <si>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</si>
  <si>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</si>
  <si>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</si>
  <si>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</si>
  <si>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</si>
  <si>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</si>
  <si>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</si>
  <si>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</si>
  <si>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</si>
  <si>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</si>
  <si>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</si>
  <si>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</si>
  <si>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</si>
  <si>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</si>
  <si>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</si>
  <si>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</si>
  <si>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</si>
  <si>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</si>
  <si>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</si>
  <si>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</si>
  <si>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</si>
  <si>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</si>
  <si>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</si>
  <si>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</si>
  <si>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</si>
  <si>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</si>
  <si>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</si>
  <si>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</si>
  <si>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</si>
  <si>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</si>
  <si>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</si>
  <si>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</si>
  <si>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</si>
  <si>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</si>
  <si>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</si>
  <si>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</si>
  <si>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</si>
  <si>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</si>
  <si>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</si>
  <si>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</si>
  <si>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</si>
  <si>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</si>
  <si>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</si>
  <si>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</si>
  <si>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</si>
  <si>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</si>
  <si>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</si>
  <si>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</si>
  <si>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</si>
  <si>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</si>
  <si>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</si>
  <si>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</si>
  <si>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</si>
  <si>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</si>
  <si>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</si>
  <si>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</si>
  <si>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</si>
  <si>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</si>
  <si>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</si>
  <si>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</si>
  <si>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</si>
  <si>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</si>
  <si>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</si>
  <si>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</si>
  <si>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</si>
  <si>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</si>
  <si>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</si>
  <si>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</si>
  <si>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</si>
  <si>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</si>
  <si>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</si>
  <si>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</si>
  <si>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</si>
  <si>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</si>
  <si>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</si>
  <si>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</si>
  <si>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</si>
  <si>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</si>
  <si>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</si>
  <si>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</si>
  <si>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</si>
  <si>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</si>
  <si>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</si>
  <si>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</si>
  <si>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</si>
  <si>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</si>
  <si>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</si>
  <si>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</si>
  <si>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</si>
  <si>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</si>
  <si>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</si>
  <si>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</si>
  <si>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</si>
  <si>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</si>
  <si>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</si>
  <si>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</si>
  <si>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</si>
  <si>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</si>
  <si>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</si>
  <si>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</si>
  <si>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</si>
  <si>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</si>
  <si>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</si>
  <si>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</si>
  <si>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</si>
  <si>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</si>
  <si>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</si>
  <si>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</si>
  <si>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</si>
  <si>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</si>
  <si>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</si>
  <si>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</si>
  <si>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</si>
  <si>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</si>
  <si>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</si>
  <si>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</si>
  <si>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</si>
  <si>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</si>
  <si>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</si>
  <si>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</si>
  <si>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</si>
  <si>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</si>
  <si>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</si>
  <si>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</si>
  <si>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</si>
  <si>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</si>
  <si>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</si>
  <si>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</si>
  <si>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</si>
  <si>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</si>
  <si>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</si>
  <si>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</si>
  <si>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</si>
  <si>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</si>
  <si>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</si>
  <si>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</si>
  <si>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</si>
  <si>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</si>
  <si>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</si>
  <si>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</si>
  <si>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</si>
  <si>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</si>
  <si>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</si>
  <si>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</si>
  <si>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</si>
  <si>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</si>
  <si>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</si>
  <si>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</si>
  <si>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</si>
  <si>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</si>
  <si>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</si>
  <si>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</si>
  <si>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</si>
  <si>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</si>
  <si>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</si>
  <si>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</si>
  <si>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</si>
  <si>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</si>
  <si>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</si>
  <si>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</si>
  <si>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</si>
  <si>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</si>
  <si>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</si>
  <si>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</si>
  <si>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</si>
  <si>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</si>
  <si>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</si>
  <si>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</si>
  <si>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</si>
  <si>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</si>
  <si>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</si>
  <si>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</si>
  <si>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</si>
  <si>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</si>
  <si>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</si>
  <si>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</si>
  <si>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</si>
  <si>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</si>
  <si>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</si>
  <si>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</si>
  <si>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</si>
  <si>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</si>
  <si>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</si>
  <si>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</si>
  <si>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</si>
  <si>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</si>
  <si>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</si>
  <si>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</si>
  <si>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</si>
  <si>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</si>
  <si>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</si>
  <si>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</si>
  <si>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</si>
  <si>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</si>
  <si>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</si>
  <si>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</si>
  <si>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</si>
  <si>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</si>
  <si>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</si>
  <si>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</si>
  <si>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</si>
  <si>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</si>
  <si>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</si>
  <si>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</si>
  <si>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</si>
  <si>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</si>
  <si>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</si>
  <si>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</si>
  <si>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</si>
  <si>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</si>
  <si>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</si>
  <si>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</si>
  <si>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</si>
  <si>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</si>
  <si>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</si>
  <si>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</si>
  <si>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</si>
  <si>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</si>
  <si>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</si>
  <si>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</si>
  <si>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</si>
  <si>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</si>
  <si>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</si>
  <si>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</si>
  <si>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</si>
  <si>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</si>
  <si>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</si>
  <si>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</si>
  <si>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</si>
  <si>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</si>
  <si>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</si>
  <si>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</si>
  <si>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</si>
  <si>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</si>
  <si>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</si>
  <si>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</si>
  <si>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</si>
  <si>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</si>
  <si>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</si>
  <si>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</si>
  <si>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</si>
  <si>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</si>
  <si>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</si>
  <si>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</si>
  <si>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</si>
  <si>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</si>
  <si>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</si>
  <si>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</si>
  <si>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</si>
  <si>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</si>
  <si>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</si>
  <si>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</si>
  <si>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</si>
  <si>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</si>
  <si>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</si>
  <si>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</si>
  <si>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</si>
  <si>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</si>
  <si>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</si>
  <si>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</si>
  <si>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</si>
  <si>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</si>
  <si>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</si>
  <si>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</si>
  <si>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</si>
  <si>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</si>
  <si>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</si>
  <si>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</si>
  <si>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</si>
  <si>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</si>
  <si>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</si>
  <si>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</si>
  <si>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</si>
  <si>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</si>
  <si>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</si>
  <si>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</si>
  <si>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</si>
  <si>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</si>
  <si>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</si>
  <si>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</si>
  <si>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</si>
  <si>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</si>
  <si>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</si>
  <si>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</si>
  <si>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</si>
  <si>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</si>
  <si>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</si>
  <si>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</si>
  <si>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</si>
  <si>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</si>
  <si>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</si>
  <si>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</si>
  <si>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</si>
  <si>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</si>
  <si>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</si>
  <si>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</si>
  <si>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</si>
  <si>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</si>
  <si>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</si>
  <si>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</si>
  <si>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</si>
  <si>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</si>
  <si>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</si>
  <si>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</si>
  <si>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</si>
  <si>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</si>
  <si>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</si>
  <si>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</si>
  <si>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</si>
  <si>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</si>
  <si>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</si>
  <si>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</si>
  <si>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</si>
  <si>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</si>
  <si>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</si>
  <si>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</si>
  <si>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</si>
  <si>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</si>
  <si>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</si>
  <si>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</si>
  <si>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</si>
  <si>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</si>
  <si>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</si>
  <si>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</si>
  <si>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</si>
  <si>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</si>
  <si>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</si>
  <si>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</si>
  <si>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</si>
  <si>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</si>
  <si>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</si>
  <si>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</si>
  <si>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</si>
  <si>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</si>
  <si>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</si>
  <si>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</si>
  <si>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</si>
  <si>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</si>
  <si>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</si>
  <si>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</si>
  <si>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</si>
  <si>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</si>
  <si>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</si>
  <si>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</si>
  <si>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</si>
  <si>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</si>
  <si>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</si>
  <si>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</si>
  <si>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</si>
  <si>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</si>
  <si>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</si>
  <si>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</si>
  <si>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</si>
  <si>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</si>
  <si>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</si>
  <si>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</si>
  <si>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</si>
  <si>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</si>
  <si>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</si>
  <si>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</si>
  <si>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</si>
  <si>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</si>
  <si>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</si>
  <si>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</si>
  <si>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</si>
  <si>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</si>
  <si>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</si>
  <si>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</si>
  <si>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</si>
  <si>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</si>
  <si>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</si>
  <si>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</si>
  <si>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</si>
  <si>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</si>
  <si>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</si>
  <si>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</si>
  <si>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</si>
  <si>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</si>
  <si>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</si>
  <si>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</si>
  <si>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</si>
  <si>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</si>
  <si>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</si>
  <si>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</si>
  <si>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</si>
  <si>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</si>
  <si>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</si>
  <si>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</si>
  <si>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</si>
  <si>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</si>
  <si>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</si>
  <si>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</si>
  <si>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</si>
  <si>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</si>
  <si>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</si>
  <si>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</si>
  <si>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</si>
  <si>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</si>
  <si>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</si>
  <si>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</si>
  <si>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</si>
  <si>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</si>
  <si>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</si>
  <si>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</si>
  <si>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</si>
  <si>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</si>
  <si>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</si>
  <si>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</si>
  <si>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</si>
  <si>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</si>
  <si>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</si>
  <si>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</si>
  <si>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</si>
  <si>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</si>
  <si>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</si>
  <si>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</si>
  <si>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</si>
  <si>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</si>
  <si>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</si>
  <si>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</si>
  <si>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</si>
  <si>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</si>
  <si>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</si>
  <si>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</si>
  <si>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</si>
  <si>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</si>
  <si>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</si>
  <si>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</si>
  <si>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</si>
  <si>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</si>
  <si>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</si>
  <si>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</si>
  <si>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</si>
  <si>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</si>
  <si>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</si>
  <si>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</si>
  <si>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</si>
  <si>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</si>
  <si>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</si>
  <si>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</si>
  <si>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</si>
  <si>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</si>
  <si>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</si>
  <si>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</si>
  <si>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</si>
  <si>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</si>
  <si>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</si>
  <si>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</si>
  <si>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</si>
  <si>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</si>
  <si>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</si>
  <si>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</si>
  <si>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</si>
  <si>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</si>
  <si>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</si>
  <si>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</si>
  <si>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</si>
  <si>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</si>
  <si>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</si>
  <si>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</si>
  <si>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</si>
  <si>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</si>
  <si>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</si>
  <si>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</si>
  <si>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</si>
  <si>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</si>
  <si>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</si>
  <si>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</si>
  <si>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</si>
  <si>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</si>
  <si>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</si>
  <si>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</si>
  <si>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</si>
  <si>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</si>
  <si>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</si>
  <si>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</si>
  <si>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</si>
  <si>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</si>
  <si>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</si>
  <si>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</si>
  <si>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</si>
  <si>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</si>
  <si>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</si>
  <si>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</si>
  <si>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</si>
  <si>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</si>
  <si>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</si>
  <si>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</si>
  <si>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</si>
  <si>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</si>
  <si>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</si>
  <si>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</si>
  <si>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</si>
  <si>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</si>
  <si>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</si>
  <si>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</si>
  <si>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</si>
  <si>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</si>
  <si>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</si>
  <si>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</si>
  <si>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</si>
  <si>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</si>
  <si>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</si>
  <si>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</si>
  <si>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</si>
  <si>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</si>
  <si>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</si>
  <si>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</si>
  <si>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</si>
  <si>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</si>
  <si>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</si>
  <si>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</si>
  <si>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</si>
  <si>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</si>
  <si>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</si>
  <si>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</si>
  <si>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</si>
  <si>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</si>
  <si>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</si>
  <si>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</si>
  <si>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</si>
  <si>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</si>
  <si>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</si>
  <si>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</si>
  <si>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</si>
  <si>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</si>
  <si>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</si>
  <si>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</si>
  <si>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</si>
  <si>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</si>
  <si>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</si>
  <si>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</si>
  <si>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</si>
  <si>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</si>
  <si>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</si>
  <si>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</si>
  <si>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</si>
  <si>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</si>
  <si>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</si>
  <si>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</si>
  <si>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</si>
  <si>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</si>
  <si>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</si>
  <si>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</si>
  <si>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</si>
  <si>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</si>
  <si>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</si>
  <si>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</si>
  <si>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</si>
  <si>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</si>
  <si>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</si>
  <si>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</si>
  <si>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</si>
  <si>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</si>
  <si>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</si>
  <si>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</si>
  <si>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</si>
  <si>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</si>
  <si>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</si>
  <si>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</si>
  <si>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</si>
  <si>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</si>
  <si>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</si>
  <si>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</si>
  <si>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</si>
  <si>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</si>
  <si>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</si>
  <si>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</si>
  <si>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</si>
  <si>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</si>
  <si>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</si>
  <si>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</si>
  <si>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</si>
  <si>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</si>
  <si>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</si>
  <si>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</si>
  <si>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</si>
  <si>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</si>
  <si>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</si>
  <si>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</si>
  <si>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</si>
  <si>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</si>
  <si>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</si>
  <si>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</si>
  <si>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</si>
  <si>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</si>
  <si>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</si>
  <si>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</si>
  <si>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</si>
  <si>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</si>
  <si>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</si>
  <si>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</si>
  <si>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</si>
  <si>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</si>
  <si>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</si>
  <si>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</si>
  <si>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</si>
  <si>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</si>
  <si>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</si>
  <si>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</si>
  <si>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</si>
  <si>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</si>
  <si>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</si>
  <si>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</si>
  <si>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</si>
  <si>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</si>
  <si>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</si>
  <si>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</si>
  <si>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</si>
  <si>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</si>
  <si>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</si>
  <si>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</si>
  <si>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</si>
  <si>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</si>
  <si>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</si>
  <si>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</si>
  <si>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</si>
  <si>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</si>
  <si>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</si>
  <si>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</si>
  <si>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</si>
  <si>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</si>
  <si>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</si>
  <si>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</si>
  <si>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</si>
  <si>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</si>
  <si>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</si>
  <si>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</si>
  <si>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</si>
  <si>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</si>
  <si>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</si>
  <si>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</si>
  <si>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</si>
  <si>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</si>
  <si>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</si>
  <si>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</si>
  <si>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</si>
  <si>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</si>
  <si>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</si>
  <si>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</si>
  <si>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</si>
  <si>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</si>
  <si>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</si>
  <si>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</si>
  <si>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</si>
  <si>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</si>
  <si>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</si>
  <si>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</si>
  <si>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</si>
  <si>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</si>
  <si>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</si>
  <si>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</si>
  <si>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</si>
  <si>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</si>
  <si>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</si>
  <si>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</si>
  <si>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</si>
  <si>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</si>
  <si>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</si>
  <si>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</si>
  <si>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</si>
  <si>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</si>
  <si>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</si>
  <si>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</si>
  <si>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</si>
  <si>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</si>
  <si>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</si>
  <si>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</si>
  <si>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</si>
  <si>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</si>
  <si>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</si>
  <si>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</si>
  <si>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</si>
  <si>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</si>
  <si>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</si>
  <si>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</si>
  <si>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</si>
  <si>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</si>
  <si>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</si>
  <si>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</si>
  <si>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</si>
  <si>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</si>
  <si>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</si>
  <si>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</si>
  <si>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</si>
  <si>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</si>
  <si>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</si>
  <si>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</si>
  <si>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</si>
  <si>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</si>
  <si>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</si>
  <si>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</si>
  <si>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</si>
  <si>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</si>
  <si>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</si>
  <si>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</si>
  <si>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</si>
  <si>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</si>
  <si>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</si>
  <si>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</si>
  <si>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</si>
  <si>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</si>
  <si>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</si>
  <si>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</si>
  <si>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</si>
  <si>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</si>
  <si>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</si>
  <si>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</si>
  <si>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</si>
  <si>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</si>
  <si>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</si>
  <si>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</si>
  <si>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</si>
  <si>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</si>
  <si>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</si>
  <si>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</si>
  <si>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</si>
  <si>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</si>
  <si>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</si>
  <si>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</si>
  <si>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</si>
  <si>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</si>
  <si>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</si>
  <si>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</si>
  <si>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</si>
  <si>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</si>
  <si>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</si>
  <si>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</si>
  <si>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</si>
  <si>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</si>
  <si>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</si>
  <si>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</si>
  <si>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</si>
  <si>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</si>
  <si>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</si>
  <si>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</si>
  <si>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</si>
  <si>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</si>
  <si>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</si>
  <si>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</si>
  <si>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</si>
  <si>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</si>
  <si>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</si>
  <si>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</si>
  <si>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</si>
  <si>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</si>
  <si>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</si>
  <si>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</si>
  <si>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</si>
  <si>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</si>
  <si>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</si>
  <si>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</si>
  <si>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</si>
  <si>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</si>
  <si>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</si>
  <si>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</si>
  <si>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</si>
  <si>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</si>
  <si>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</si>
  <si>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</si>
  <si>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</si>
  <si>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</si>
  <si>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</si>
  <si>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</si>
  <si>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</si>
  <si>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</si>
  <si>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</si>
  <si>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</si>
  <si>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</si>
  <si>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</si>
  <si>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</si>
  <si>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</si>
  <si>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</si>
  <si>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</si>
  <si>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</si>
  <si>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</si>
  <si>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</si>
  <si>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</si>
  <si>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</si>
  <si>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</si>
  <si>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</si>
  <si>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</si>
  <si>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</si>
  <si>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</si>
  <si>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</si>
  <si>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</si>
  <si>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</si>
  <si>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</si>
  <si>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</si>
  <si>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</si>
  <si>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</si>
  <si>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</si>
  <si>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</si>
  <si>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</si>
  <si>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</si>
  <si>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</si>
  <si>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</si>
  <si>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</si>
  <si>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</si>
  <si>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</si>
  <si>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</si>
  <si>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</si>
  <si>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</si>
  <si>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</si>
  <si>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</si>
  <si>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</si>
  <si>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</si>
  <si>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</si>
  <si>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</si>
  <si>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</si>
  <si>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</si>
  <si>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</si>
  <si>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</si>
  <si>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</si>
  <si>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</si>
  <si>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</si>
  <si>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</si>
  <si>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</si>
  <si>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</si>
  <si>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</si>
  <si>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</si>
  <si>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</si>
  <si>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</si>
  <si>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</si>
  <si>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</si>
  <si>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</si>
  <si>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</si>
  <si>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</si>
  <si>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</si>
  <si>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</si>
  <si>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</si>
  <si>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</si>
  <si>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</si>
  <si>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</si>
  <si>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</si>
  <si>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</si>
  <si>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</si>
  <si>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</si>
  <si>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</si>
  <si>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</si>
  <si>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</si>
  <si>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</si>
  <si>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</si>
  <si>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</si>
  <si>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</si>
  <si>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</si>
  <si>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</si>
  <si>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</si>
  <si>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</si>
  <si>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</si>
  <si>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</si>
  <si>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</si>
  <si>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</si>
  <si>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</si>
  <si>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</si>
  <si>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</si>
  <si>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</si>
  <si>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</si>
  <si>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</si>
  <si>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</si>
  <si>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</si>
  <si>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</si>
  <si>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</si>
  <si>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</si>
  <si>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</si>
  <si>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</si>
  <si>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</si>
  <si>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</si>
  <si>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</si>
  <si>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</si>
  <si>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</si>
  <si>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</si>
  <si>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</si>
  <si>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</si>
  <si>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</si>
  <si>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</si>
  <si>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</si>
  <si>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</si>
  <si>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</si>
  <si>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</si>
  <si>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</si>
  <si>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</si>
  <si>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</si>
  <si>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</si>
  <si>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</si>
  <si>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</si>
  <si>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</si>
  <si>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</si>
  <si>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</si>
  <si>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</si>
  <si>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</si>
  <si>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</si>
  <si>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</si>
  <si>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</si>
  <si>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</si>
  <si>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</si>
  <si>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</si>
  <si>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</si>
  <si>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</si>
  <si>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</si>
  <si>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</si>
  <si>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</si>
  <si>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</si>
  <si>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</si>
  <si>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</si>
  <si>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</si>
  <si>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</si>
  <si>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</si>
  <si>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</si>
  <si>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</si>
  <si>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</si>
  <si>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</si>
  <si>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</si>
  <si>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</si>
  <si>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</si>
  <si>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</si>
  <si>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</si>
  <si>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</si>
  <si>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</si>
  <si>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</si>
  <si>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</si>
  <si>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</si>
  <si>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</si>
  <si>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</si>
  <si>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</si>
  <si>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</si>
  <si>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</si>
  <si>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</si>
  <si>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</si>
  <si>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</si>
  <si>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</si>
  <si>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</si>
  <si>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</si>
  <si>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</si>
  <si>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</si>
  <si>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</si>
  <si>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</si>
  <si>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</si>
  <si>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</si>
  <si>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</si>
  <si>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</si>
  <si>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</si>
  <si>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</si>
  <si>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</si>
  <si>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</si>
  <si>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</si>
  <si>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</si>
  <si>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</si>
  <si>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</si>
  <si>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</si>
  <si>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</si>
  <si>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</si>
  <si>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</si>
  <si>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</si>
  <si>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</si>
  <si>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</si>
  <si>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</si>
  <si>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</si>
  <si>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</si>
  <si>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</si>
  <si>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</si>
  <si>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</si>
  <si>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</si>
  <si>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</si>
  <si>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</si>
  <si>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</si>
  <si>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</si>
  <si>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</si>
  <si>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</si>
  <si>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</si>
  <si>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</si>
  <si>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</si>
  <si>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</si>
  <si>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</si>
  <si>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</si>
  <si>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</si>
  <si>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</si>
  <si>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</si>
  <si>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</si>
  <si>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</si>
  <si>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</si>
  <si>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</si>
  <si>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</si>
  <si>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</si>
  <si>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</si>
  <si>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</si>
  <si>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</si>
  <si>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</si>
  <si>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</si>
  <si>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</si>
  <si>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</si>
  <si>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</si>
  <si>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</si>
  <si>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</si>
  <si>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</si>
  <si>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</si>
  <si>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</si>
  <si>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</si>
  <si>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</si>
  <si>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</si>
  <si>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</si>
  <si>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</si>
  <si>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</si>
  <si>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</si>
  <si>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</si>
  <si>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</si>
  <si>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</si>
  <si>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</si>
  <si>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</si>
  <si>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</si>
  <si>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</si>
  <si>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</si>
  <si>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</si>
  <si>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</si>
  <si>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</si>
  <si>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</si>
  <si>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</si>
  <si>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</si>
  <si>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</si>
  <si>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</si>
  <si>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</si>
  <si>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</si>
  <si>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</si>
  <si>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</si>
  <si>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</si>
  <si>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</si>
  <si>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</si>
  <si>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</si>
  <si>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</si>
  <si>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</si>
  <si>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</si>
  <si>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</si>
  <si>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</si>
  <si>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</si>
  <si>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</si>
  <si>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</si>
  <si>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</si>
  <si>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</si>
  <si>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</si>
  <si>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</si>
  <si>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</si>
  <si>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</si>
  <si>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</si>
  <si>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</si>
  <si>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</si>
  <si>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</si>
  <si>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</si>
  <si>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</si>
  <si>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</si>
  <si>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</si>
  <si>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</si>
  <si>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</si>
  <si>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</si>
  <si>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</si>
  <si>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</si>
  <si>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</si>
  <si>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</si>
  <si>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</si>
  <si>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</si>
  <si>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</si>
  <si>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</si>
  <si>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</si>
  <si>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</si>
  <si>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</si>
  <si>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</si>
  <si>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</si>
  <si>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</si>
  <si>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</si>
  <si>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</si>
  <si>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</si>
  <si>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</si>
  <si>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</si>
  <si>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</si>
  <si>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</si>
  <si>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</si>
  <si>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</si>
  <si>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</si>
  <si>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</si>
  <si>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</si>
  <si>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</si>
  <si>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</si>
  <si>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</si>
  <si>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</si>
  <si>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</si>
  <si>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</si>
  <si>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</si>
  <si>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</si>
  <si>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</si>
  <si>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</si>
  <si>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</si>
  <si>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</si>
  <si>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</si>
  <si>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</si>
  <si>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</si>
  <si>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</si>
  <si>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</si>
  <si>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</si>
  <si>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</si>
  <si>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</si>
  <si>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</si>
  <si>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</si>
  <si>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</si>
  <si>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</si>
  <si>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</si>
  <si>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</si>
  <si>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</si>
  <si>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</si>
  <si>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</si>
  <si>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</si>
  <si>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</si>
  <si>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</si>
  <si>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</si>
  <si>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</si>
  <si>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</si>
  <si>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</si>
  <si>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</si>
  <si>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</si>
  <si>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</si>
  <si>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</si>
  <si>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</si>
  <si>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</si>
  <si>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</si>
  <si>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</si>
  <si>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</si>
  <si>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</si>
  <si>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</si>
  <si>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 DE HIDRAULICA</t>
  </si>
  <si>
    <t>h</t>
  </si>
  <si>
    <t>DEPARTAMENTO ALBARDON</t>
  </si>
  <si>
    <t>1.1</t>
  </si>
  <si>
    <t>Topador D8 potencia minima 270hp</t>
  </si>
  <si>
    <t>DEPARTAMENTO ULUM-ZONDA</t>
  </si>
  <si>
    <t>SR. DIRECTOR GENERAL DEL DEPARTAMENTO DE HIDRAULICA DE SAN JUAN</t>
  </si>
  <si>
    <t xml:space="preserve">CONTRATACION DE 800 HS. TOPADORA   Y/O CARGADORA
PARA MEJORA DE OBRAS DE DEFENSAS DE MATERIAL SUELTO DE BAJADAS DE CRECIENTES, ENCAUZAMIENTOS
-DEPARTAMENTOS ALBARDON - ULLUM - ZONDA -
</t>
  </si>
  <si>
    <t>DEPARTAMENTO ALBARDON, ULLUM Y ZONDA</t>
  </si>
  <si>
    <t>I.I.E.E.</t>
  </si>
  <si>
    <t>MANO DE OBRA</t>
  </si>
  <si>
    <t>COMBUSTIBLES Y LUBRICANTES</t>
  </si>
  <si>
    <t>EQUIPO Y AMORTIZACION DE EQUIPOS</t>
  </si>
  <si>
    <t>INDEC NACIONAL 37510-II C.A.B.A 011545401</t>
  </si>
  <si>
    <t>INDEC NACIONAL 41242-I C.A.B.A 164444251</t>
  </si>
  <si>
    <t>I.I.E.E. INDEC NACIONAL C.P.C. inciso p)</t>
  </si>
  <si>
    <t>506-000064-2021</t>
  </si>
  <si>
    <t>02/2021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</si>
</sst>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7">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69">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9" fontId="8" fillId="3" borderId="0" xfId="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wrapText="1"/>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16" fontId="8" fillId="0" borderId="3" xfId="0" applyNumberFormat="1"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0" xfId="7" applyFont="1" applyFill="1" applyBorder="1" applyAlignment="1" applyProtection="1">
      <alignment horizontal="center" vertical="center"/>
      <protection hidden="1"/>
    </xf>
    <xf numFmtId="17" fontId="54" fillId="2" borderId="71" xfId="7" applyNumberFormat="1" applyFont="1" applyFill="1" applyBorder="1" applyAlignment="1" applyProtection="1">
      <alignment horizontal="center" vertical="center"/>
      <protection hidden="1"/>
    </xf>
    <xf numFmtId="10" fontId="54" fillId="0" borderId="72"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5"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0" xfId="84" applyNumberFormat="1" applyFont="1" applyFill="1" applyBorder="1" applyAlignment="1" applyProtection="1">
      <alignment vertical="center"/>
      <protection hidden="1"/>
    </xf>
    <xf numFmtId="169" fontId="8" fillId="0" borderId="81" xfId="84" applyNumberFormat="1" applyFont="1" applyFill="1" applyBorder="1" applyAlignment="1" applyProtection="1">
      <alignment vertical="center"/>
      <protection hidden="1"/>
    </xf>
    <xf numFmtId="9" fontId="8" fillId="0" borderId="81" xfId="84" applyFont="1" applyFill="1" applyBorder="1" applyAlignment="1" applyProtection="1">
      <alignment horizontal="center" vertical="center"/>
      <protection hidden="1"/>
    </xf>
    <xf numFmtId="0" fontId="8" fillId="2" borderId="81"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5" xfId="84" applyNumberFormat="1" applyFont="1" applyFill="1" applyBorder="1" applyAlignment="1" applyProtection="1">
      <alignment vertical="center"/>
      <protection hidden="1"/>
    </xf>
    <xf numFmtId="9" fontId="8" fillId="0" borderId="85" xfId="84" applyFont="1" applyFill="1" applyBorder="1" applyAlignment="1" applyProtection="1">
      <alignment horizontal="center" vertical="center"/>
      <protection hidden="1"/>
    </xf>
    <xf numFmtId="0" fontId="8" fillId="2" borderId="85"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0" fontId="12" fillId="0" borderId="0" xfId="0" applyFont="1" applyAlignment="1">
      <alignment vertical="center"/>
    </xf>
    <xf numFmtId="0" fontId="12" fillId="3" borderId="0" xfId="0" applyFont="1" applyFill="1" applyAlignment="1">
      <alignment vertical="center" wrapText="1"/>
    </xf>
    <xf numFmtId="0" fontId="12" fillId="3" borderId="0" xfId="7" applyFont="1" applyFill="1" applyAlignment="1">
      <alignment vertical="center" shrinkToFit="1"/>
    </xf>
    <xf numFmtId="168" fontId="12" fillId="3" borderId="0" xfId="7" applyNumberFormat="1" applyFont="1" applyFill="1" applyAlignment="1">
      <alignment horizontal="center" vertical="center"/>
    </xf>
    <xf numFmtId="188" fontId="13" fillId="0" borderId="15" xfId="0" applyNumberFormat="1" applyFont="1" applyFill="1" applyBorder="1" applyAlignment="1" applyProtection="1">
      <alignment horizontal="center" vertical="center"/>
      <protection hidden="1"/>
    </xf>
    <xf numFmtId="3" fontId="8" fillId="3" borderId="3" xfId="0" applyNumberFormat="1" applyFont="1" applyFill="1" applyBorder="1" applyAlignment="1" applyProtection="1">
      <alignment vertical="center"/>
      <protection locked="0"/>
    </xf>
    <xf numFmtId="0" fontId="8" fillId="0" borderId="13" xfId="0" applyFont="1" applyFill="1" applyBorder="1" applyAlignment="1" applyProtection="1">
      <alignment horizontal="left" vertical="center" wrapText="1"/>
    </xf>
    <xf numFmtId="0" fontId="8" fillId="0" borderId="3" xfId="0" applyFont="1" applyFill="1" applyBorder="1" applyAlignment="1" applyProtection="1">
      <alignment vertical="center"/>
    </xf>
    <xf numFmtId="169" fontId="8" fillId="0" borderId="3" xfId="16" applyNumberFormat="1" applyFont="1" applyFill="1" applyBorder="1" applyAlignment="1" applyProtection="1">
      <alignment vertical="center"/>
      <protection locked="0"/>
    </xf>
    <xf numFmtId="0" fontId="8" fillId="0" borderId="15" xfId="0" applyFont="1" applyBorder="1"/>
    <xf numFmtId="176" fontId="12" fillId="0" borderId="8" xfId="7" applyNumberFormat="1" applyFont="1" applyFill="1" applyBorder="1" applyAlignment="1" applyProtection="1">
      <alignment horizontal="center" vertical="center"/>
      <protection hidden="1"/>
    </xf>
    <xf numFmtId="49" fontId="8" fillId="3" borderId="0" xfId="29" quotePrefix="1" applyNumberFormat="1" applyFont="1" applyFill="1" applyAlignment="1">
      <alignment horizontal="center" vertical="center"/>
    </xf>
    <xf numFmtId="0" fontId="8" fillId="3" borderId="0" xfId="7" applyFont="1" applyFill="1" applyAlignment="1">
      <alignment horizontal="center" vertical="center"/>
    </xf>
    <xf numFmtId="14" fontId="8" fillId="3" borderId="0" xfId="7" applyNumberFormat="1" applyFont="1" applyFill="1" applyAlignment="1">
      <alignment horizontal="center" vertical="center"/>
    </xf>
    <xf numFmtId="174" fontId="8" fillId="3" borderId="0" xfId="7" applyNumberFormat="1" applyFont="1" applyFill="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2"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3" xfId="7" applyFont="1" applyFill="1" applyBorder="1" applyAlignment="1" applyProtection="1">
      <alignment horizontal="center" vertical="center"/>
      <protection hidden="1"/>
    </xf>
    <xf numFmtId="0" fontId="8" fillId="0" borderId="77"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79"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4" xfId="84" applyNumberFormat="1" applyFont="1" applyFill="1" applyBorder="1" applyAlignment="1" applyProtection="1">
      <alignment horizontal="center" vertical="center"/>
      <protection hidden="1"/>
    </xf>
    <xf numFmtId="10" fontId="8" fillId="2" borderId="79"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4" xfId="84" applyNumberFormat="1" applyFont="1" applyFill="1" applyBorder="1" applyAlignment="1" applyProtection="1">
      <alignment horizontal="center" vertical="center"/>
      <protection locked="0"/>
    </xf>
    <xf numFmtId="10" fontId="8" fillId="0" borderId="79"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4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PTyCI!$E$19:$H$19</c:f>
              <c:numCache>
                <c:formatCode>0.00%</c:formatCode>
                <c:ptCount val="4"/>
                <c:pt idx="0" formatCode="General">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PTyCI!$E$20:$H$20</c:f>
              <c:numCache>
                <c:formatCode>0.00%</c:formatCode>
                <c:ptCount val="4"/>
                <c:pt idx="0" formatCode="General">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36733272"/>
        <c:axId val="336736800"/>
      </c:lineChart>
      <c:catAx>
        <c:axId val="3367332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36736800"/>
        <c:crossesAt val="0"/>
        <c:auto val="1"/>
        <c:lblAlgn val="ctr"/>
        <c:lblOffset val="100"/>
        <c:noMultiLvlLbl val="0"/>
      </c:catAx>
      <c:valAx>
        <c:axId val="3367368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33673327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PTyCI!$E$22:$H$22</c:f>
              <c:numCache>
                <c:formatCode>_-"$"* #,##0.00_-;\-"$"* #,##0.00_-;_-"$"* "-"??_-;_-@_-</c:formatCode>
                <c:ptCount val="4"/>
                <c:pt idx="0">
                  <c:v>0</c:v>
                </c:pt>
                <c:pt idx="1">
                  <c:v>0</c:v>
                </c:pt>
                <c:pt idx="3">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PTyCI!$E$23:$H$23</c:f>
              <c:numCache>
                <c:formatCode>_-"$"* #,##0.00_-;\-"$"* #,##0.00_-;_-"$"* "-"??_-;_-@_-</c:formatCode>
                <c:ptCount val="4"/>
                <c:pt idx="0">
                  <c:v>0</c:v>
                </c:pt>
                <c:pt idx="1">
                  <c:v>0</c:v>
                </c:pt>
                <c:pt idx="3">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36734448"/>
        <c:axId val="336734056"/>
      </c:lineChart>
      <c:catAx>
        <c:axId val="33673444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36734056"/>
        <c:crosses val="autoZero"/>
        <c:auto val="1"/>
        <c:lblAlgn val="ctr"/>
        <c:lblOffset val="100"/>
        <c:noMultiLvlLbl val="0"/>
      </c:catAx>
      <c:valAx>
        <c:axId val="33673405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3673444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42" customWidth="1"/>
    <col min="2" max="16384" width="11.42578125" style="642"/>
  </cols>
  <sheetData>
    <row r="1" spans="1:7" ht="30" customHeight="1" x14ac:dyDescent="0.2">
      <c r="A1" s="645" t="s">
        <v>946</v>
      </c>
    </row>
    <row r="2" spans="1:7" ht="165" x14ac:dyDescent="0.2">
      <c r="A2" s="643" t="s">
        <v>2058</v>
      </c>
    </row>
    <row r="3" spans="1:7" ht="30" customHeight="1" x14ac:dyDescent="0.2">
      <c r="A3" s="645" t="s">
        <v>947</v>
      </c>
    </row>
    <row r="4" spans="1:7" ht="30" customHeight="1" x14ac:dyDescent="0.2">
      <c r="A4" s="645" t="s">
        <v>966</v>
      </c>
    </row>
    <row r="5" spans="1:7" ht="195" x14ac:dyDescent="0.2">
      <c r="A5" s="648" t="s">
        <v>2059</v>
      </c>
    </row>
    <row r="6" spans="1:7" ht="105.75" x14ac:dyDescent="0.2">
      <c r="A6" s="648" t="s">
        <v>2057</v>
      </c>
      <c r="B6" s="646"/>
      <c r="C6" s="646"/>
      <c r="D6" s="646"/>
      <c r="E6" s="646"/>
      <c r="F6" s="646"/>
      <c r="G6" s="646"/>
    </row>
    <row r="7" spans="1:7" ht="60" x14ac:dyDescent="0.2">
      <c r="A7" s="648" t="s">
        <v>2056</v>
      </c>
      <c r="B7" s="646"/>
      <c r="C7" s="646"/>
      <c r="D7" s="646"/>
      <c r="E7" s="646"/>
      <c r="F7" s="646"/>
      <c r="G7" s="646"/>
    </row>
    <row r="8" spans="1:7" ht="165" x14ac:dyDescent="0.2">
      <c r="A8" s="648" t="s">
        <v>2060</v>
      </c>
      <c r="B8" s="646"/>
      <c r="C8" s="646"/>
      <c r="D8" s="646"/>
      <c r="E8" s="646"/>
      <c r="F8" s="646"/>
      <c r="G8" s="646"/>
    </row>
    <row r="9" spans="1:7" ht="15" x14ac:dyDescent="0.2">
      <c r="A9" s="643" t="s">
        <v>967</v>
      </c>
      <c r="B9" s="646"/>
      <c r="C9" s="646"/>
      <c r="D9" s="646"/>
      <c r="E9" s="646"/>
      <c r="F9" s="646"/>
      <c r="G9" s="646"/>
    </row>
    <row r="10" spans="1:7" ht="45" customHeight="1" x14ac:dyDescent="0.2">
      <c r="A10" s="643" t="s">
        <v>968</v>
      </c>
      <c r="B10" s="646"/>
      <c r="C10" s="646"/>
      <c r="D10" s="646"/>
      <c r="E10" s="646"/>
      <c r="F10" s="646"/>
      <c r="G10" s="646"/>
    </row>
    <row r="11" spans="1:7" ht="30" x14ac:dyDescent="0.2">
      <c r="A11" s="643" t="s">
        <v>970</v>
      </c>
      <c r="B11" s="646" t="s">
        <v>3</v>
      </c>
      <c r="C11" s="646"/>
      <c r="D11" s="646"/>
      <c r="E11" s="646"/>
      <c r="F11" s="646"/>
      <c r="G11" s="646"/>
    </row>
    <row r="12" spans="1:7" ht="15" x14ac:dyDescent="0.2">
      <c r="A12" s="643" t="s">
        <v>2055</v>
      </c>
      <c r="B12" s="646"/>
      <c r="C12" s="646"/>
      <c r="D12" s="646"/>
      <c r="E12" s="646"/>
      <c r="F12" s="646"/>
      <c r="G12" s="646"/>
    </row>
    <row r="13" spans="1:7" ht="47.25" x14ac:dyDescent="0.2">
      <c r="A13" s="647" t="s">
        <v>2054</v>
      </c>
      <c r="B13" s="646"/>
      <c r="C13" s="646"/>
      <c r="D13" s="646"/>
      <c r="E13" s="646"/>
      <c r="F13" s="646"/>
      <c r="G13" s="646"/>
    </row>
    <row r="14" spans="1:7" ht="30" customHeight="1" x14ac:dyDescent="0.2">
      <c r="A14" s="645" t="s">
        <v>976</v>
      </c>
    </row>
    <row r="15" spans="1:7" ht="150" x14ac:dyDescent="0.2">
      <c r="A15" s="643" t="s">
        <v>2065</v>
      </c>
    </row>
    <row r="16" spans="1:7" ht="45" customHeight="1" x14ac:dyDescent="0.2">
      <c r="A16" s="643" t="s">
        <v>2053</v>
      </c>
      <c r="B16" s="646"/>
      <c r="C16" s="646"/>
      <c r="D16" s="646"/>
      <c r="E16" s="646"/>
      <c r="F16" s="646"/>
      <c r="G16" s="646"/>
    </row>
    <row r="17" spans="1:7" ht="30" customHeight="1" x14ac:dyDescent="0.2">
      <c r="A17" s="645" t="s">
        <v>948</v>
      </c>
    </row>
    <row r="18" spans="1:7" ht="45" customHeight="1" x14ac:dyDescent="0.2">
      <c r="A18" s="643" t="s">
        <v>2052</v>
      </c>
      <c r="B18" s="646"/>
      <c r="C18" s="646"/>
      <c r="D18" s="646"/>
      <c r="E18" s="646"/>
      <c r="F18" s="646"/>
      <c r="G18" s="646"/>
    </row>
    <row r="19" spans="1:7" ht="45" customHeight="1" x14ac:dyDescent="0.2">
      <c r="A19" s="643" t="s">
        <v>971</v>
      </c>
      <c r="B19" s="646"/>
      <c r="C19" s="646"/>
      <c r="D19" s="646"/>
      <c r="E19" s="646"/>
      <c r="F19" s="646"/>
      <c r="G19" s="646"/>
    </row>
    <row r="20" spans="1:7" ht="45" customHeight="1" x14ac:dyDescent="0.2">
      <c r="A20" s="643" t="s">
        <v>2051</v>
      </c>
      <c r="B20" s="646"/>
      <c r="C20" s="646"/>
      <c r="D20" s="646"/>
      <c r="E20" s="646"/>
      <c r="F20" s="646"/>
      <c r="G20" s="646"/>
    </row>
    <row r="21" spans="1:7" ht="30" x14ac:dyDescent="0.2">
      <c r="A21" s="643" t="s">
        <v>969</v>
      </c>
      <c r="B21" s="646"/>
      <c r="C21" s="646"/>
      <c r="D21" s="646"/>
      <c r="E21" s="646"/>
      <c r="F21" s="646"/>
      <c r="G21" s="646"/>
    </row>
    <row r="22" spans="1:7" ht="15" x14ac:dyDescent="0.2">
      <c r="A22" s="643"/>
      <c r="B22" s="646"/>
      <c r="C22" s="646"/>
      <c r="D22" s="646"/>
      <c r="E22" s="646"/>
      <c r="F22" s="646"/>
      <c r="G22" s="646"/>
    </row>
    <row r="23" spans="1:7" ht="30" customHeight="1" x14ac:dyDescent="0.2">
      <c r="A23" s="645" t="s">
        <v>949</v>
      </c>
    </row>
    <row r="24" spans="1:7" ht="45" x14ac:dyDescent="0.2">
      <c r="A24" s="643" t="s">
        <v>2050</v>
      </c>
      <c r="B24" s="646"/>
      <c r="C24" s="646"/>
      <c r="D24" s="646"/>
      <c r="E24" s="646"/>
      <c r="F24" s="646"/>
      <c r="G24" s="646"/>
    </row>
    <row r="25" spans="1:7" ht="15" x14ac:dyDescent="0.2">
      <c r="A25" s="643" t="s">
        <v>972</v>
      </c>
      <c r="B25" s="646"/>
      <c r="C25" s="646"/>
      <c r="D25" s="646"/>
      <c r="E25" s="646"/>
      <c r="F25" s="646"/>
      <c r="G25" s="646"/>
    </row>
    <row r="26" spans="1:7" ht="30" x14ac:dyDescent="0.2">
      <c r="A26" s="643" t="s">
        <v>2049</v>
      </c>
      <c r="B26" s="646"/>
      <c r="C26" s="646"/>
      <c r="D26" s="646"/>
      <c r="E26" s="646"/>
      <c r="F26" s="646"/>
      <c r="G26" s="646"/>
    </row>
    <row r="27" spans="1:7" ht="30" x14ac:dyDescent="0.2">
      <c r="A27" s="643" t="s">
        <v>2048</v>
      </c>
      <c r="B27" s="646"/>
      <c r="C27" s="646"/>
      <c r="D27" s="646"/>
      <c r="E27" s="646"/>
      <c r="F27" s="646"/>
      <c r="G27" s="646"/>
    </row>
    <row r="28" spans="1:7" ht="30" x14ac:dyDescent="0.2">
      <c r="A28" s="643" t="s">
        <v>2047</v>
      </c>
    </row>
    <row r="29" spans="1:7" ht="45" x14ac:dyDescent="0.2">
      <c r="A29" s="643" t="s">
        <v>978</v>
      </c>
    </row>
    <row r="30" spans="1:7" ht="31.5" x14ac:dyDescent="0.2">
      <c r="A30" s="643" t="s">
        <v>2066</v>
      </c>
    </row>
    <row r="31" spans="1:7" ht="135.75" x14ac:dyDescent="0.2">
      <c r="A31" s="643" t="s">
        <v>2046</v>
      </c>
    </row>
    <row r="32" spans="1:7" ht="30" customHeight="1" x14ac:dyDescent="0.2">
      <c r="A32" s="645" t="s">
        <v>950</v>
      </c>
    </row>
    <row r="33" spans="1:7" ht="45" x14ac:dyDescent="0.2">
      <c r="A33" s="643" t="s">
        <v>2045</v>
      </c>
    </row>
    <row r="34" spans="1:7" ht="150" x14ac:dyDescent="0.2">
      <c r="A34" s="643" t="s">
        <v>2044</v>
      </c>
    </row>
    <row r="35" spans="1:7" ht="120" x14ac:dyDescent="0.2">
      <c r="A35" s="643" t="s">
        <v>979</v>
      </c>
    </row>
    <row r="36" spans="1:7" ht="44.25" customHeight="1" x14ac:dyDescent="0.2">
      <c r="A36" s="643" t="s">
        <v>951</v>
      </c>
    </row>
    <row r="37" spans="1:7" ht="15" x14ac:dyDescent="0.2">
      <c r="A37" s="643" t="s">
        <v>2043</v>
      </c>
    </row>
    <row r="38" spans="1:7" ht="30" customHeight="1" x14ac:dyDescent="0.2">
      <c r="A38" s="645" t="s">
        <v>952</v>
      </c>
    </row>
    <row r="39" spans="1:7" ht="45" x14ac:dyDescent="0.2">
      <c r="A39" s="643" t="s">
        <v>973</v>
      </c>
      <c r="B39" s="646"/>
      <c r="C39" s="646"/>
      <c r="D39" s="646"/>
      <c r="E39" s="646"/>
      <c r="F39" s="646"/>
      <c r="G39" s="646"/>
    </row>
    <row r="40" spans="1:7" ht="30" x14ac:dyDescent="0.2">
      <c r="A40" s="643" t="s">
        <v>980</v>
      </c>
    </row>
    <row r="41" spans="1:7" ht="30" x14ac:dyDescent="0.2">
      <c r="A41" s="643" t="s">
        <v>981</v>
      </c>
    </row>
    <row r="42" spans="1:7" ht="15" x14ac:dyDescent="0.2">
      <c r="A42" s="643"/>
    </row>
    <row r="43" spans="1:7" ht="15.75" x14ac:dyDescent="0.2">
      <c r="A43" s="645" t="s">
        <v>953</v>
      </c>
    </row>
    <row r="44" spans="1:7" ht="45" x14ac:dyDescent="0.2">
      <c r="A44" s="643" t="s">
        <v>954</v>
      </c>
    </row>
    <row r="46" spans="1:7" ht="30" customHeight="1" x14ac:dyDescent="0.2">
      <c r="A46" s="645" t="s">
        <v>974</v>
      </c>
    </row>
    <row r="47" spans="1:7" ht="45" x14ac:dyDescent="0.2">
      <c r="A47" s="643" t="s">
        <v>975</v>
      </c>
    </row>
    <row r="48" spans="1:7" ht="30" x14ac:dyDescent="0.2">
      <c r="A48" s="643" t="s">
        <v>977</v>
      </c>
    </row>
    <row r="49" spans="1:1" ht="25.5" x14ac:dyDescent="0.2">
      <c r="A49" s="644" t="s">
        <v>2042</v>
      </c>
    </row>
    <row r="50" spans="1:1" ht="15" x14ac:dyDescent="0.2">
      <c r="A50" s="643"/>
    </row>
    <row r="51" spans="1:1" ht="30" customHeight="1" x14ac:dyDescent="0.2">
      <c r="A51" s="645" t="s">
        <v>2067</v>
      </c>
    </row>
    <row r="52" spans="1:1" ht="30" x14ac:dyDescent="0.2">
      <c r="A52" s="643" t="s">
        <v>2068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topLeftCell="A4" workbookViewId="0">
      <selection activeCell="A10" sqref="A10:E25"/>
    </sheetView>
  </sheetViews>
  <sheetFormatPr baseColWidth="10" defaultRowHeight="12.75" x14ac:dyDescent="0.2"/>
  <cols>
    <col min="1" max="1" width="33.7109375" style="660" customWidth="1"/>
    <col min="2" max="2" width="15.85546875" style="660" customWidth="1"/>
    <col min="3" max="4" width="13.85546875" style="660" customWidth="1"/>
    <col min="5" max="5" width="15.140625" style="660" customWidth="1"/>
    <col min="6" max="9" width="13.85546875" style="660" customWidth="1"/>
    <col min="10" max="10" width="16.7109375" style="660" customWidth="1"/>
    <col min="11" max="11" width="13.85546875" style="660" customWidth="1"/>
    <col min="12" max="14" width="11.42578125" style="660"/>
    <col min="15" max="15" width="49.85546875" style="660" bestFit="1" customWidth="1"/>
    <col min="16" max="16384" width="11.42578125" style="660"/>
  </cols>
  <sheetData>
    <row r="1" spans="1:17" x14ac:dyDescent="0.2">
      <c r="A1" s="660" t="s">
        <v>2072</v>
      </c>
    </row>
    <row r="2" spans="1:17" x14ac:dyDescent="0.2">
      <c r="A2" s="660" t="s">
        <v>2071</v>
      </c>
    </row>
    <row r="3" spans="1:17" x14ac:dyDescent="0.2">
      <c r="A3" s="660" t="s">
        <v>2069</v>
      </c>
    </row>
    <row r="4" spans="1:17" x14ac:dyDescent="0.2">
      <c r="A4" s="660" t="s">
        <v>2070</v>
      </c>
    </row>
    <row r="6" spans="1:17" ht="15.75" x14ac:dyDescent="0.25">
      <c r="A6" s="830" t="s">
        <v>1814</v>
      </c>
      <c r="B6" s="830"/>
      <c r="C6" s="830"/>
      <c r="D6" s="830"/>
      <c r="E6" s="830"/>
      <c r="F6" s="830"/>
      <c r="G6" s="830"/>
      <c r="H6" s="830"/>
      <c r="I6" s="830"/>
      <c r="J6" s="830"/>
      <c r="K6" s="830"/>
      <c r="O6" s="660" t="s">
        <v>1834</v>
      </c>
      <c r="P6" s="660">
        <v>140</v>
      </c>
      <c r="Q6" s="660">
        <v>900000</v>
      </c>
    </row>
    <row r="7" spans="1:17" x14ac:dyDescent="0.2">
      <c r="O7" s="660" t="s">
        <v>1835</v>
      </c>
      <c r="P7" s="660">
        <v>140</v>
      </c>
      <c r="Q7" s="660">
        <v>1260000</v>
      </c>
    </row>
    <row r="8" spans="1:17" s="665" customFormat="1" ht="38.25" x14ac:dyDescent="0.2">
      <c r="A8" s="655" t="s">
        <v>1815</v>
      </c>
      <c r="B8" s="655" t="s">
        <v>1816</v>
      </c>
      <c r="C8" s="655" t="s">
        <v>1817</v>
      </c>
      <c r="D8" s="655" t="s">
        <v>1818</v>
      </c>
      <c r="E8" s="655" t="s">
        <v>1825</v>
      </c>
      <c r="F8" s="655" t="s">
        <v>1819</v>
      </c>
      <c r="G8" s="655" t="s">
        <v>1820</v>
      </c>
      <c r="H8" s="655" t="s">
        <v>1821</v>
      </c>
      <c r="I8" s="655" t="s">
        <v>1822</v>
      </c>
      <c r="J8" s="655" t="s">
        <v>1823</v>
      </c>
      <c r="K8" s="655" t="s">
        <v>1824</v>
      </c>
      <c r="O8" s="660" t="s">
        <v>1839</v>
      </c>
      <c r="P8" s="660">
        <v>140</v>
      </c>
      <c r="Q8" s="660">
        <v>1080000</v>
      </c>
    </row>
    <row r="9" spans="1:17" s="665" customFormat="1" x14ac:dyDescent="0.2">
      <c r="A9" s="656" t="s">
        <v>1853</v>
      </c>
      <c r="B9" s="655"/>
      <c r="C9" s="655"/>
      <c r="D9" s="655"/>
      <c r="E9" s="655"/>
      <c r="F9" s="655"/>
      <c r="G9" s="655"/>
      <c r="H9" s="655"/>
      <c r="I9" s="655"/>
      <c r="J9" s="655"/>
      <c r="K9" s="655"/>
      <c r="O9" s="660"/>
      <c r="P9" s="660"/>
      <c r="Q9" s="660"/>
    </row>
    <row r="10" spans="1:17" x14ac:dyDescent="0.2">
      <c r="A10" s="657"/>
      <c r="B10" s="657"/>
      <c r="C10" s="657"/>
      <c r="D10" s="658"/>
      <c r="E10" s="659"/>
      <c r="F10" s="657"/>
      <c r="G10" s="657"/>
      <c r="H10" s="657"/>
      <c r="I10" s="657"/>
      <c r="J10" s="657"/>
      <c r="K10" s="657"/>
      <c r="O10" s="660" t="s">
        <v>361</v>
      </c>
      <c r="P10" s="660">
        <v>110</v>
      </c>
      <c r="Q10" s="660">
        <v>630000</v>
      </c>
    </row>
    <row r="11" spans="1:17" x14ac:dyDescent="0.2">
      <c r="A11" s="657"/>
      <c r="B11" s="657"/>
      <c r="C11" s="657"/>
      <c r="D11" s="658"/>
      <c r="E11" s="659"/>
      <c r="F11" s="657"/>
      <c r="G11" s="657"/>
      <c r="H11" s="657"/>
      <c r="I11" s="657"/>
      <c r="J11" s="657"/>
      <c r="K11" s="657"/>
      <c r="O11" s="660" t="s">
        <v>1827</v>
      </c>
      <c r="P11" s="660">
        <v>160</v>
      </c>
      <c r="Q11" s="660">
        <v>1260000</v>
      </c>
    </row>
    <row r="12" spans="1:17" x14ac:dyDescent="0.2">
      <c r="A12" s="657"/>
      <c r="B12" s="657"/>
      <c r="C12" s="657"/>
      <c r="D12" s="658"/>
      <c r="E12" s="659"/>
      <c r="F12" s="657"/>
      <c r="G12" s="657"/>
      <c r="H12" s="657"/>
      <c r="I12" s="657"/>
      <c r="J12" s="657"/>
      <c r="K12" s="657"/>
      <c r="O12" s="660" t="s">
        <v>1841</v>
      </c>
      <c r="P12" s="660">
        <v>360</v>
      </c>
      <c r="Q12" s="660">
        <v>1800000</v>
      </c>
    </row>
    <row r="13" spans="1:17" x14ac:dyDescent="0.2">
      <c r="A13" s="657"/>
      <c r="B13" s="657"/>
      <c r="C13" s="657"/>
      <c r="D13" s="658"/>
      <c r="E13" s="659"/>
      <c r="F13" s="657"/>
      <c r="G13" s="657"/>
      <c r="H13" s="657"/>
      <c r="I13" s="657"/>
      <c r="J13" s="657"/>
      <c r="K13" s="657"/>
      <c r="O13" s="660" t="s">
        <v>1840</v>
      </c>
      <c r="P13" s="660">
        <v>120</v>
      </c>
      <c r="Q13" s="660">
        <v>270000</v>
      </c>
    </row>
    <row r="14" spans="1:17" x14ac:dyDescent="0.2">
      <c r="A14" s="657"/>
      <c r="B14" s="657"/>
      <c r="C14" s="657"/>
      <c r="D14" s="658"/>
      <c r="E14" s="659"/>
      <c r="F14" s="657"/>
      <c r="G14" s="657"/>
      <c r="H14" s="657"/>
      <c r="I14" s="657"/>
      <c r="J14" s="657"/>
      <c r="K14" s="657"/>
      <c r="O14" s="660" t="s">
        <v>1838</v>
      </c>
      <c r="P14" s="660">
        <v>140</v>
      </c>
      <c r="Q14" s="660">
        <v>900000</v>
      </c>
    </row>
    <row r="15" spans="1:17" x14ac:dyDescent="0.2">
      <c r="A15" s="657"/>
      <c r="B15" s="657"/>
      <c r="C15" s="657"/>
      <c r="D15" s="658"/>
      <c r="E15" s="659"/>
      <c r="F15" s="657"/>
      <c r="G15" s="657"/>
      <c r="H15" s="657"/>
      <c r="I15" s="657"/>
      <c r="J15" s="657"/>
      <c r="K15" s="657"/>
      <c r="O15" s="660" t="s">
        <v>1832</v>
      </c>
      <c r="P15" s="660">
        <v>200</v>
      </c>
      <c r="Q15" s="660">
        <v>3240000</v>
      </c>
    </row>
    <row r="16" spans="1:17" x14ac:dyDescent="0.2">
      <c r="A16" s="657"/>
      <c r="B16" s="657"/>
      <c r="C16" s="657"/>
      <c r="D16" s="658"/>
      <c r="E16" s="659"/>
      <c r="F16" s="657"/>
      <c r="G16" s="657"/>
      <c r="H16" s="657"/>
      <c r="I16" s="657"/>
      <c r="J16" s="657"/>
      <c r="K16" s="657"/>
      <c r="O16" s="660" t="s">
        <v>1829</v>
      </c>
      <c r="P16" s="660">
        <v>90</v>
      </c>
      <c r="Q16" s="660">
        <v>1170000</v>
      </c>
    </row>
    <row r="17" spans="1:17" x14ac:dyDescent="0.2">
      <c r="A17" s="657"/>
      <c r="D17" s="658"/>
      <c r="E17" s="659"/>
      <c r="F17" s="657"/>
      <c r="G17" s="657"/>
      <c r="H17" s="657"/>
      <c r="I17" s="657"/>
      <c r="J17" s="657"/>
      <c r="K17" s="657"/>
      <c r="O17" s="660" t="s">
        <v>1826</v>
      </c>
      <c r="P17" s="660">
        <v>260</v>
      </c>
      <c r="Q17" s="660">
        <v>3960000</v>
      </c>
    </row>
    <row r="18" spans="1:17" x14ac:dyDescent="0.2">
      <c r="A18" s="657"/>
      <c r="B18" s="657"/>
      <c r="C18" s="657"/>
      <c r="D18" s="658"/>
      <c r="E18" s="659"/>
      <c r="F18" s="657"/>
      <c r="G18" s="657"/>
      <c r="H18" s="657"/>
      <c r="I18" s="657"/>
      <c r="J18" s="657"/>
      <c r="K18" s="657"/>
      <c r="O18" s="660" t="s">
        <v>363</v>
      </c>
      <c r="P18" s="660">
        <v>75</v>
      </c>
      <c r="Q18" s="660">
        <v>1170000</v>
      </c>
    </row>
    <row r="19" spans="1:17" x14ac:dyDescent="0.2">
      <c r="A19" s="657"/>
      <c r="B19" s="657"/>
      <c r="C19" s="657"/>
      <c r="D19" s="658"/>
      <c r="E19" s="659"/>
      <c r="F19" s="657"/>
      <c r="G19" s="657"/>
      <c r="H19" s="657"/>
      <c r="I19" s="657"/>
      <c r="J19" s="657"/>
      <c r="K19" s="657"/>
      <c r="O19" s="660" t="s">
        <v>1836</v>
      </c>
      <c r="P19" s="660">
        <v>90</v>
      </c>
      <c r="Q19" s="660">
        <v>2700000</v>
      </c>
    </row>
    <row r="20" spans="1:17" x14ac:dyDescent="0.2">
      <c r="A20" s="657"/>
      <c r="B20" s="657"/>
      <c r="C20" s="657"/>
      <c r="D20" s="658"/>
      <c r="E20" s="659"/>
      <c r="F20" s="657"/>
      <c r="G20" s="657"/>
      <c r="H20" s="657"/>
      <c r="I20" s="657"/>
      <c r="J20" s="657"/>
      <c r="K20" s="657"/>
      <c r="O20" s="660" t="s">
        <v>1828</v>
      </c>
      <c r="P20" s="660">
        <v>110</v>
      </c>
      <c r="Q20" s="660">
        <v>1260000</v>
      </c>
    </row>
    <row r="21" spans="1:17" x14ac:dyDescent="0.2">
      <c r="A21" s="657"/>
      <c r="B21" s="657"/>
      <c r="C21" s="657"/>
      <c r="D21" s="658"/>
      <c r="E21" s="659"/>
      <c r="F21" s="657"/>
      <c r="G21" s="657"/>
      <c r="H21" s="657"/>
      <c r="I21" s="657"/>
      <c r="J21" s="657"/>
      <c r="K21" s="657"/>
      <c r="O21" s="660" t="s">
        <v>1833</v>
      </c>
      <c r="P21" s="660">
        <v>140</v>
      </c>
      <c r="Q21" s="660">
        <v>1080000</v>
      </c>
    </row>
    <row r="22" spans="1:17" x14ac:dyDescent="0.2">
      <c r="A22" s="657"/>
      <c r="B22" s="657"/>
      <c r="C22" s="657"/>
      <c r="D22" s="658"/>
      <c r="E22" s="659"/>
      <c r="F22" s="657"/>
      <c r="G22" s="657"/>
      <c r="H22" s="657"/>
      <c r="I22" s="657"/>
      <c r="J22" s="657"/>
      <c r="K22" s="657"/>
      <c r="O22" s="660" t="s">
        <v>1837</v>
      </c>
      <c r="P22" s="660">
        <v>110</v>
      </c>
      <c r="Q22" s="660">
        <v>1260000</v>
      </c>
    </row>
    <row r="23" spans="1:17" x14ac:dyDescent="0.2">
      <c r="A23" s="657"/>
      <c r="B23" s="657"/>
      <c r="C23" s="657"/>
      <c r="D23" s="658"/>
      <c r="E23" s="659"/>
      <c r="F23" s="657"/>
      <c r="G23" s="657"/>
      <c r="H23" s="657"/>
      <c r="I23" s="657"/>
      <c r="J23" s="657"/>
      <c r="K23" s="657"/>
    </row>
    <row r="24" spans="1:17" x14ac:dyDescent="0.2">
      <c r="A24" s="657"/>
      <c r="B24" s="657"/>
      <c r="C24" s="657"/>
      <c r="D24" s="658"/>
      <c r="E24" s="659"/>
      <c r="F24" s="657"/>
      <c r="G24" s="657"/>
      <c r="H24" s="657"/>
      <c r="I24" s="657"/>
      <c r="J24" s="657"/>
      <c r="K24" s="657"/>
    </row>
    <row r="25" spans="1:17" x14ac:dyDescent="0.2">
      <c r="A25" s="657"/>
      <c r="B25" s="657"/>
      <c r="C25" s="657"/>
      <c r="D25" s="658"/>
      <c r="E25" s="659"/>
      <c r="F25" s="657"/>
      <c r="G25" s="657"/>
      <c r="H25" s="657"/>
      <c r="I25" s="657"/>
      <c r="J25" s="657"/>
      <c r="K25" s="657"/>
    </row>
    <row r="26" spans="1:17" x14ac:dyDescent="0.2">
      <c r="A26" s="657"/>
      <c r="B26" s="657"/>
      <c r="C26" s="657"/>
      <c r="D26" s="658"/>
      <c r="E26" s="661"/>
      <c r="F26" s="657"/>
      <c r="G26" s="657"/>
      <c r="H26" s="657"/>
      <c r="I26" s="657"/>
      <c r="J26" s="657"/>
      <c r="K26" s="657"/>
    </row>
    <row r="27" spans="1:17" x14ac:dyDescent="0.2">
      <c r="A27" s="656" t="s">
        <v>1852</v>
      </c>
    </row>
    <row r="28" spans="1:17" x14ac:dyDescent="0.2">
      <c r="A28" s="657"/>
      <c r="B28" s="657"/>
      <c r="C28" s="657"/>
      <c r="D28" s="658"/>
      <c r="E28" s="661"/>
      <c r="F28" s="657"/>
      <c r="G28" s="657"/>
      <c r="H28" s="657"/>
      <c r="I28" s="657"/>
      <c r="J28" s="657"/>
      <c r="K28" s="657"/>
    </row>
    <row r="29" spans="1:17" x14ac:dyDescent="0.2">
      <c r="A29" s="657"/>
      <c r="B29" s="657"/>
      <c r="C29" s="662"/>
      <c r="D29" s="663"/>
      <c r="E29" s="664"/>
      <c r="F29" s="657"/>
      <c r="G29" s="657"/>
      <c r="H29" s="657"/>
      <c r="I29" s="657"/>
      <c r="J29" s="657"/>
      <c r="K29" s="657"/>
    </row>
    <row r="30" spans="1:17" x14ac:dyDescent="0.2">
      <c r="A30" s="657"/>
      <c r="B30" s="657"/>
      <c r="C30" s="662"/>
      <c r="D30" s="663"/>
      <c r="E30" s="664"/>
      <c r="F30" s="657"/>
      <c r="G30" s="657"/>
      <c r="H30" s="657"/>
      <c r="I30" s="657"/>
      <c r="J30" s="657"/>
      <c r="K30" s="657"/>
    </row>
    <row r="31" spans="1:17" x14ac:dyDescent="0.2">
      <c r="A31" s="657"/>
      <c r="B31" s="657"/>
      <c r="C31" s="662"/>
      <c r="D31" s="663"/>
      <c r="E31" s="664"/>
      <c r="F31" s="657"/>
      <c r="G31" s="657"/>
      <c r="H31" s="657"/>
      <c r="I31" s="657"/>
      <c r="J31" s="657"/>
      <c r="K31" s="657"/>
    </row>
    <row r="32" spans="1:17" x14ac:dyDescent="0.2">
      <c r="A32" s="657"/>
      <c r="B32" s="657"/>
      <c r="C32" s="662"/>
      <c r="D32" s="663"/>
      <c r="E32" s="664"/>
      <c r="F32" s="657"/>
      <c r="G32" s="657"/>
      <c r="H32" s="657"/>
      <c r="I32" s="657"/>
      <c r="J32" s="657"/>
      <c r="K32" s="657"/>
    </row>
    <row r="33" spans="1:11" x14ac:dyDescent="0.2">
      <c r="A33" s="657"/>
      <c r="B33" s="657"/>
      <c r="C33" s="662"/>
      <c r="D33" s="663"/>
      <c r="E33" s="664"/>
      <c r="F33" s="657"/>
      <c r="G33" s="657"/>
      <c r="H33" s="657"/>
      <c r="I33" s="657"/>
      <c r="J33" s="657"/>
      <c r="K33" s="657"/>
    </row>
    <row r="34" spans="1:11" x14ac:dyDescent="0.2">
      <c r="A34" s="657"/>
      <c r="B34" s="657"/>
      <c r="C34" s="662"/>
      <c r="D34" s="663"/>
      <c r="E34" s="664"/>
      <c r="F34" s="657"/>
      <c r="G34" s="657"/>
      <c r="H34" s="657"/>
      <c r="I34" s="657"/>
      <c r="J34" s="657"/>
      <c r="K34" s="657"/>
    </row>
    <row r="35" spans="1:11" x14ac:dyDescent="0.2">
      <c r="A35" s="657"/>
      <c r="B35" s="657"/>
      <c r="C35" s="662"/>
      <c r="D35" s="663"/>
      <c r="E35" s="664"/>
      <c r="F35" s="657"/>
      <c r="G35" s="657"/>
      <c r="H35" s="657"/>
      <c r="I35" s="657"/>
      <c r="J35" s="657"/>
      <c r="K35" s="657"/>
    </row>
    <row r="36" spans="1:11" x14ac:dyDescent="0.2">
      <c r="A36" s="657"/>
      <c r="B36" s="657"/>
      <c r="C36" s="662"/>
      <c r="D36" s="663"/>
      <c r="E36" s="664"/>
      <c r="F36" s="657"/>
      <c r="G36" s="657"/>
      <c r="H36" s="657"/>
      <c r="I36" s="657"/>
      <c r="J36" s="657"/>
      <c r="K36" s="657"/>
    </row>
    <row r="37" spans="1:11" x14ac:dyDescent="0.2">
      <c r="A37" s="657"/>
      <c r="B37" s="657"/>
      <c r="C37" s="662"/>
      <c r="D37" s="663"/>
      <c r="E37" s="664"/>
      <c r="F37" s="657"/>
      <c r="G37" s="657"/>
      <c r="H37" s="657"/>
      <c r="I37" s="657"/>
      <c r="J37" s="657"/>
      <c r="K37" s="657"/>
    </row>
    <row r="38" spans="1:11" x14ac:dyDescent="0.2">
      <c r="A38" s="657"/>
      <c r="B38" s="657"/>
      <c r="C38" s="662"/>
      <c r="D38" s="663"/>
      <c r="E38" s="664"/>
      <c r="F38" s="657"/>
      <c r="G38" s="657"/>
      <c r="H38" s="657"/>
      <c r="I38" s="657"/>
      <c r="J38" s="657"/>
      <c r="K38" s="657"/>
    </row>
    <row r="39" spans="1:11" x14ac:dyDescent="0.2">
      <c r="A39" s="657"/>
      <c r="B39" s="657"/>
      <c r="C39" s="662"/>
      <c r="D39" s="663"/>
      <c r="E39" s="664"/>
      <c r="F39" s="657"/>
      <c r="G39" s="657"/>
      <c r="H39" s="657"/>
      <c r="I39" s="657"/>
      <c r="J39" s="657"/>
      <c r="K39" s="657"/>
    </row>
    <row r="40" spans="1:11" x14ac:dyDescent="0.2">
      <c r="A40" s="657"/>
      <c r="B40" s="657"/>
      <c r="C40" s="662"/>
      <c r="D40" s="663"/>
      <c r="E40" s="664"/>
      <c r="F40" s="657"/>
      <c r="G40" s="657"/>
      <c r="H40" s="657"/>
      <c r="I40" s="657"/>
      <c r="J40" s="657"/>
      <c r="K40" s="657"/>
    </row>
    <row r="41" spans="1:11" x14ac:dyDescent="0.2">
      <c r="A41" s="657"/>
      <c r="B41" s="657"/>
      <c r="C41" s="662"/>
      <c r="D41" s="663"/>
      <c r="E41" s="664"/>
      <c r="F41" s="657"/>
      <c r="G41" s="657"/>
      <c r="H41" s="657"/>
      <c r="I41" s="657"/>
      <c r="J41" s="657"/>
      <c r="K41" s="657"/>
    </row>
    <row r="42" spans="1:11" x14ac:dyDescent="0.2">
      <c r="A42" s="657"/>
      <c r="B42" s="657"/>
      <c r="C42" s="662"/>
      <c r="D42" s="663"/>
      <c r="E42" s="664"/>
      <c r="F42" s="657"/>
      <c r="G42" s="657"/>
      <c r="H42" s="657"/>
      <c r="I42" s="657"/>
      <c r="J42" s="657"/>
      <c r="K42" s="657"/>
    </row>
    <row r="43" spans="1:11" x14ac:dyDescent="0.2">
      <c r="A43" s="657"/>
      <c r="B43" s="657"/>
      <c r="C43" s="662"/>
      <c r="D43" s="663"/>
      <c r="E43" s="664"/>
      <c r="F43" s="657"/>
      <c r="G43" s="657"/>
      <c r="H43" s="657"/>
      <c r="I43" s="657"/>
      <c r="J43" s="657"/>
      <c r="K43" s="657"/>
    </row>
    <row r="44" spans="1:11" x14ac:dyDescent="0.2">
      <c r="A44" s="657"/>
      <c r="B44" s="657"/>
      <c r="C44" s="662"/>
      <c r="D44" s="663"/>
      <c r="E44" s="664"/>
      <c r="F44" s="657"/>
      <c r="G44" s="657"/>
      <c r="H44" s="657"/>
      <c r="I44" s="657"/>
      <c r="J44" s="657"/>
      <c r="K44" s="657"/>
    </row>
    <row r="45" spans="1:11" x14ac:dyDescent="0.2">
      <c r="A45" s="657"/>
      <c r="B45" s="657"/>
      <c r="C45" s="662"/>
      <c r="D45" s="663"/>
      <c r="E45" s="664"/>
      <c r="F45" s="657"/>
      <c r="G45" s="657"/>
      <c r="H45" s="657"/>
      <c r="I45" s="657"/>
      <c r="J45" s="657"/>
      <c r="K45" s="657"/>
    </row>
    <row r="46" spans="1:11" x14ac:dyDescent="0.2">
      <c r="A46" s="657"/>
      <c r="B46" s="657"/>
      <c r="C46" s="662"/>
      <c r="D46" s="663"/>
      <c r="E46" s="664"/>
      <c r="F46" s="657"/>
      <c r="G46" s="657"/>
      <c r="H46" s="657"/>
      <c r="I46" s="657"/>
      <c r="J46" s="657"/>
      <c r="K46" s="657"/>
    </row>
    <row r="47" spans="1:11" x14ac:dyDescent="0.2">
      <c r="A47" s="657"/>
      <c r="B47" s="657"/>
      <c r="C47" s="662"/>
      <c r="D47" s="663"/>
      <c r="E47" s="664"/>
      <c r="F47" s="657"/>
      <c r="G47" s="657"/>
      <c r="H47" s="657"/>
      <c r="I47" s="657"/>
      <c r="J47" s="657"/>
      <c r="K47" s="657"/>
    </row>
    <row r="48" spans="1:11" x14ac:dyDescent="0.2">
      <c r="A48" s="657"/>
      <c r="B48" s="657"/>
      <c r="C48" s="662"/>
      <c r="D48" s="663"/>
      <c r="E48" s="664"/>
      <c r="F48" s="657"/>
      <c r="G48" s="657"/>
      <c r="H48" s="657"/>
      <c r="I48" s="657"/>
      <c r="J48" s="657"/>
      <c r="K48" s="657"/>
    </row>
    <row r="49" spans="1:11" x14ac:dyDescent="0.2">
      <c r="A49" s="657"/>
      <c r="B49" s="657"/>
      <c r="C49" s="662"/>
      <c r="D49" s="663"/>
      <c r="E49" s="664"/>
      <c r="F49" s="657"/>
      <c r="G49" s="657"/>
      <c r="H49" s="657"/>
      <c r="I49" s="657"/>
      <c r="J49" s="657"/>
      <c r="K49" s="657"/>
    </row>
    <row r="50" spans="1:11" x14ac:dyDescent="0.2">
      <c r="A50" s="657"/>
      <c r="B50" s="657"/>
      <c r="C50" s="662"/>
      <c r="D50" s="663"/>
      <c r="E50" s="664"/>
      <c r="F50" s="657"/>
      <c r="G50" s="657"/>
      <c r="H50" s="657"/>
      <c r="I50" s="657"/>
      <c r="J50" s="657"/>
      <c r="K50" s="657"/>
    </row>
    <row r="51" spans="1:11" x14ac:dyDescent="0.2">
      <c r="A51" s="657"/>
      <c r="B51" s="657"/>
      <c r="C51" s="662"/>
      <c r="D51" s="663"/>
      <c r="E51" s="664"/>
      <c r="F51" s="657"/>
      <c r="G51" s="657"/>
      <c r="H51" s="657"/>
      <c r="I51" s="657"/>
      <c r="J51" s="657"/>
      <c r="K51" s="657"/>
    </row>
    <row r="52" spans="1:11" x14ac:dyDescent="0.2">
      <c r="A52" s="657"/>
      <c r="B52" s="657"/>
      <c r="C52" s="662"/>
      <c r="D52" s="663"/>
      <c r="E52" s="664"/>
      <c r="F52" s="657"/>
      <c r="G52" s="657"/>
      <c r="H52" s="657"/>
      <c r="I52" s="657"/>
      <c r="J52" s="657"/>
      <c r="K52" s="657"/>
    </row>
    <row r="53" spans="1:11" x14ac:dyDescent="0.2">
      <c r="A53" s="657"/>
      <c r="B53" s="657"/>
      <c r="C53" s="662"/>
      <c r="D53" s="663"/>
      <c r="E53" s="664"/>
      <c r="F53" s="657"/>
      <c r="G53" s="657"/>
      <c r="H53" s="657"/>
      <c r="I53" s="657"/>
      <c r="J53" s="657"/>
      <c r="K53" s="657"/>
    </row>
    <row r="54" spans="1:11" x14ac:dyDescent="0.2">
      <c r="A54" s="657"/>
      <c r="B54" s="657"/>
      <c r="C54" s="662"/>
      <c r="D54" s="663"/>
      <c r="E54" s="664"/>
      <c r="F54" s="657"/>
      <c r="G54" s="657"/>
      <c r="H54" s="657"/>
      <c r="I54" s="657"/>
      <c r="J54" s="657"/>
      <c r="K54" s="657"/>
    </row>
    <row r="55" spans="1:11" x14ac:dyDescent="0.2">
      <c r="A55" s="657"/>
      <c r="B55" s="657"/>
      <c r="C55" s="662"/>
      <c r="D55" s="663"/>
      <c r="E55" s="664"/>
      <c r="F55" s="657"/>
      <c r="G55" s="657"/>
      <c r="H55" s="657"/>
      <c r="I55" s="657"/>
      <c r="J55" s="657"/>
      <c r="K55" s="657"/>
    </row>
    <row r="56" spans="1:11" x14ac:dyDescent="0.2">
      <c r="A56" s="657"/>
      <c r="B56" s="657"/>
      <c r="C56" s="662"/>
      <c r="D56" s="663"/>
      <c r="E56" s="664"/>
      <c r="F56" s="657"/>
      <c r="G56" s="657"/>
      <c r="H56" s="657"/>
      <c r="I56" s="657"/>
      <c r="J56" s="657"/>
      <c r="K56" s="657"/>
    </row>
    <row r="57" spans="1:11" x14ac:dyDescent="0.2">
      <c r="A57" s="657"/>
      <c r="B57" s="657"/>
      <c r="C57" s="662"/>
      <c r="D57" s="663"/>
      <c r="E57" s="664"/>
      <c r="F57" s="657"/>
      <c r="G57" s="657"/>
      <c r="H57" s="657"/>
      <c r="I57" s="657"/>
      <c r="J57" s="657"/>
      <c r="K57" s="657"/>
    </row>
    <row r="58" spans="1:11" x14ac:dyDescent="0.2">
      <c r="A58" s="657"/>
      <c r="B58" s="657"/>
      <c r="C58" s="662"/>
      <c r="D58" s="663"/>
      <c r="E58" s="664"/>
      <c r="F58" s="657"/>
      <c r="G58" s="657"/>
      <c r="H58" s="657"/>
      <c r="I58" s="657"/>
      <c r="J58" s="657"/>
      <c r="K58" s="657"/>
    </row>
    <row r="59" spans="1:11" x14ac:dyDescent="0.2">
      <c r="A59" s="657"/>
      <c r="B59" s="657"/>
      <c r="C59" s="662"/>
      <c r="D59" s="663"/>
      <c r="E59" s="664"/>
      <c r="F59" s="657"/>
      <c r="G59" s="657"/>
      <c r="H59" s="657"/>
      <c r="I59" s="657"/>
      <c r="J59" s="657"/>
      <c r="K59" s="657"/>
    </row>
    <row r="60" spans="1:11" x14ac:dyDescent="0.2">
      <c r="A60" s="657"/>
      <c r="B60" s="657"/>
      <c r="C60" s="662"/>
      <c r="D60" s="663"/>
      <c r="E60" s="664"/>
      <c r="F60" s="657"/>
      <c r="G60" s="657"/>
      <c r="H60" s="657"/>
      <c r="I60" s="657"/>
      <c r="J60" s="657"/>
      <c r="K60" s="657"/>
    </row>
    <row r="61" spans="1:11" x14ac:dyDescent="0.2">
      <c r="A61" s="657"/>
      <c r="B61" s="657"/>
      <c r="C61" s="662"/>
      <c r="D61" s="663"/>
      <c r="E61" s="664"/>
      <c r="F61" s="657"/>
      <c r="G61" s="657"/>
      <c r="H61" s="657"/>
      <c r="I61" s="657"/>
      <c r="J61" s="657"/>
      <c r="K61" s="657"/>
    </row>
    <row r="538" spans="15:17" x14ac:dyDescent="0.2">
      <c r="O538" s="665"/>
      <c r="P538" s="665"/>
      <c r="Q538" s="665"/>
    </row>
    <row r="539" spans="15:17" x14ac:dyDescent="0.2">
      <c r="Q539" s="660" t="s">
        <v>32</v>
      </c>
    </row>
    <row r="552" spans="17:17" x14ac:dyDescent="0.2">
      <c r="Q552" s="660">
        <v>0</v>
      </c>
    </row>
    <row r="553" spans="17:17" x14ac:dyDescent="0.2">
      <c r="Q553" s="660">
        <v>0</v>
      </c>
    </row>
    <row r="554" spans="17:17" x14ac:dyDescent="0.2">
      <c r="Q554" s="660">
        <v>0</v>
      </c>
    </row>
    <row r="555" spans="17:17" x14ac:dyDescent="0.2">
      <c r="Q555" s="660">
        <v>0</v>
      </c>
    </row>
    <row r="556" spans="17:17" x14ac:dyDescent="0.2">
      <c r="Q556" s="660">
        <v>0</v>
      </c>
    </row>
    <row r="557" spans="17:17" x14ac:dyDescent="0.2">
      <c r="Q557" s="660" t="s">
        <v>27</v>
      </c>
    </row>
    <row r="560" spans="17:17" x14ac:dyDescent="0.2">
      <c r="Q560" s="660">
        <v>27</v>
      </c>
    </row>
    <row r="561" spans="17:17" x14ac:dyDescent="0.2">
      <c r="Q561" s="660" t="s">
        <v>28</v>
      </c>
    </row>
    <row r="569" spans="17:17" x14ac:dyDescent="0.2">
      <c r="Q569" s="660" t="s">
        <v>29</v>
      </c>
    </row>
    <row r="572" spans="17:17" x14ac:dyDescent="0.2">
      <c r="Q572" s="660" t="s">
        <v>1015</v>
      </c>
    </row>
    <row r="574" spans="17:17" x14ac:dyDescent="0.2">
      <c r="Q574" s="660" t="s">
        <v>1850</v>
      </c>
    </row>
    <row r="579" spans="17:17" x14ac:dyDescent="0.2">
      <c r="Q579" s="660" t="s">
        <v>32</v>
      </c>
    </row>
    <row r="595" spans="17:17" x14ac:dyDescent="0.2">
      <c r="Q595" s="660">
        <v>0</v>
      </c>
    </row>
    <row r="596" spans="17:17" x14ac:dyDescent="0.2">
      <c r="Q596" s="660">
        <v>0</v>
      </c>
    </row>
    <row r="597" spans="17:17" x14ac:dyDescent="0.2">
      <c r="Q597" s="660">
        <v>0</v>
      </c>
    </row>
    <row r="598" spans="17:17" x14ac:dyDescent="0.2">
      <c r="Q598" s="660">
        <v>0</v>
      </c>
    </row>
    <row r="599" spans="17:17" x14ac:dyDescent="0.2">
      <c r="Q599" s="660">
        <v>0</v>
      </c>
    </row>
    <row r="600" spans="17:17" x14ac:dyDescent="0.2">
      <c r="Q600" s="660" t="s">
        <v>27</v>
      </c>
    </row>
    <row r="603" spans="17:17" x14ac:dyDescent="0.2">
      <c r="Q603" s="660">
        <v>320</v>
      </c>
    </row>
    <row r="604" spans="17:17" x14ac:dyDescent="0.2">
      <c r="Q604" s="660" t="s">
        <v>28</v>
      </c>
    </row>
    <row r="617" spans="17:17" x14ac:dyDescent="0.2">
      <c r="Q617" s="660" t="s">
        <v>29</v>
      </c>
    </row>
    <row r="620" spans="17:17" x14ac:dyDescent="0.2">
      <c r="Q620" s="660" t="s">
        <v>1015</v>
      </c>
    </row>
    <row r="622" spans="17:17" x14ac:dyDescent="0.2">
      <c r="Q622" s="660" t="s">
        <v>1850</v>
      </c>
    </row>
    <row r="627" spans="17:17" x14ac:dyDescent="0.2">
      <c r="Q627" s="660" t="s">
        <v>32</v>
      </c>
    </row>
    <row r="642" spans="17:17" x14ac:dyDescent="0.2">
      <c r="Q642" s="660">
        <v>0</v>
      </c>
    </row>
    <row r="643" spans="17:17" x14ac:dyDescent="0.2">
      <c r="Q643" s="660">
        <v>0</v>
      </c>
    </row>
    <row r="644" spans="17:17" x14ac:dyDescent="0.2">
      <c r="Q644" s="660">
        <v>0</v>
      </c>
    </row>
    <row r="645" spans="17:17" x14ac:dyDescent="0.2">
      <c r="Q645" s="660">
        <v>0</v>
      </c>
    </row>
    <row r="646" spans="17:17" x14ac:dyDescent="0.2">
      <c r="Q646" s="660">
        <v>0</v>
      </c>
    </row>
    <row r="647" spans="17:17" x14ac:dyDescent="0.2">
      <c r="Q647" s="660" t="s">
        <v>27</v>
      </c>
    </row>
    <row r="650" spans="17:17" x14ac:dyDescent="0.2">
      <c r="Q650" s="660">
        <v>380</v>
      </c>
    </row>
    <row r="651" spans="17:17" x14ac:dyDescent="0.2">
      <c r="Q651" s="660" t="s">
        <v>28</v>
      </c>
    </row>
    <row r="663" spans="17:17" x14ac:dyDescent="0.2">
      <c r="Q663" s="660" t="s">
        <v>29</v>
      </c>
    </row>
    <row r="666" spans="17:17" x14ac:dyDescent="0.2">
      <c r="Q666" s="660" t="s">
        <v>1015</v>
      </c>
    </row>
    <row r="668" spans="17:17" x14ac:dyDescent="0.2">
      <c r="Q668" s="660" t="s">
        <v>1850</v>
      </c>
    </row>
    <row r="673" spans="17:17" x14ac:dyDescent="0.2">
      <c r="Q673" s="660" t="s">
        <v>32</v>
      </c>
    </row>
    <row r="688" spans="17:17" x14ac:dyDescent="0.2">
      <c r="Q688" s="660">
        <v>0</v>
      </c>
    </row>
    <row r="689" spans="17:17" x14ac:dyDescent="0.2">
      <c r="Q689" s="660">
        <v>0</v>
      </c>
    </row>
    <row r="690" spans="17:17" x14ac:dyDescent="0.2">
      <c r="Q690" s="660">
        <v>0</v>
      </c>
    </row>
    <row r="691" spans="17:17" x14ac:dyDescent="0.2">
      <c r="Q691" s="660">
        <v>0</v>
      </c>
    </row>
    <row r="692" spans="17:17" x14ac:dyDescent="0.2">
      <c r="Q692" s="660">
        <v>0</v>
      </c>
    </row>
    <row r="693" spans="17:17" x14ac:dyDescent="0.2">
      <c r="Q693" s="660" t="s">
        <v>27</v>
      </c>
    </row>
    <row r="696" spans="17:17" x14ac:dyDescent="0.2">
      <c r="Q696" s="660">
        <v>275</v>
      </c>
    </row>
    <row r="697" spans="17:17" x14ac:dyDescent="0.2">
      <c r="Q697" s="660" t="s">
        <v>28</v>
      </c>
    </row>
    <row r="709" spans="17:17" x14ac:dyDescent="0.2">
      <c r="Q709" s="660" t="s">
        <v>29</v>
      </c>
    </row>
    <row r="712" spans="17:17" x14ac:dyDescent="0.2">
      <c r="Q712" s="660" t="s">
        <v>1015</v>
      </c>
    </row>
    <row r="714" spans="17:17" x14ac:dyDescent="0.2">
      <c r="Q714" s="660" t="s">
        <v>1851</v>
      </c>
    </row>
    <row r="719" spans="17:17" x14ac:dyDescent="0.2">
      <c r="Q719" s="660" t="s">
        <v>32</v>
      </c>
    </row>
    <row r="734" spans="17:17" x14ac:dyDescent="0.2">
      <c r="Q734" s="660">
        <v>0</v>
      </c>
    </row>
    <row r="735" spans="17:17" x14ac:dyDescent="0.2">
      <c r="Q735" s="660">
        <v>0</v>
      </c>
    </row>
    <row r="736" spans="17:17" x14ac:dyDescent="0.2">
      <c r="Q736" s="660">
        <v>0</v>
      </c>
    </row>
    <row r="737" spans="17:17" x14ac:dyDescent="0.2">
      <c r="Q737" s="660">
        <v>0</v>
      </c>
    </row>
    <row r="738" spans="17:17" x14ac:dyDescent="0.2">
      <c r="Q738" s="660">
        <v>0</v>
      </c>
    </row>
    <row r="739" spans="17:17" x14ac:dyDescent="0.2">
      <c r="Q739" s="660" t="s">
        <v>27</v>
      </c>
    </row>
    <row r="742" spans="17:17" x14ac:dyDescent="0.2">
      <c r="Q742" s="660">
        <v>260</v>
      </c>
    </row>
    <row r="743" spans="17:17" x14ac:dyDescent="0.2">
      <c r="Q743" s="660" t="s">
        <v>28</v>
      </c>
    </row>
    <row r="755" spans="17:17" x14ac:dyDescent="0.2">
      <c r="Q755" s="660" t="s">
        <v>29</v>
      </c>
    </row>
    <row r="758" spans="17:17" x14ac:dyDescent="0.2">
      <c r="Q758" s="660" t="s">
        <v>1015</v>
      </c>
    </row>
    <row r="760" spans="17:17" x14ac:dyDescent="0.2">
      <c r="Q760" s="660" t="e">
        <v>#N/A</v>
      </c>
    </row>
    <row r="765" spans="17:17" x14ac:dyDescent="0.2">
      <c r="Q765" s="660" t="s">
        <v>32</v>
      </c>
    </row>
    <row r="782" spans="17:17" x14ac:dyDescent="0.2">
      <c r="Q782" s="660">
        <v>0</v>
      </c>
    </row>
    <row r="783" spans="17:17" x14ac:dyDescent="0.2">
      <c r="Q783" s="660">
        <v>0</v>
      </c>
    </row>
    <row r="784" spans="17:17" x14ac:dyDescent="0.2">
      <c r="Q784" s="660">
        <v>0</v>
      </c>
    </row>
    <row r="785" spans="17:17" x14ac:dyDescent="0.2">
      <c r="Q785" s="660">
        <v>0</v>
      </c>
    </row>
    <row r="786" spans="17:17" x14ac:dyDescent="0.2">
      <c r="Q786" s="660">
        <v>0</v>
      </c>
    </row>
    <row r="787" spans="17:17" x14ac:dyDescent="0.2">
      <c r="Q787" s="660" t="s">
        <v>27</v>
      </c>
    </row>
    <row r="790" spans="17:17" x14ac:dyDescent="0.2">
      <c r="Q790" s="660">
        <v>4800</v>
      </c>
    </row>
    <row r="791" spans="17:17" x14ac:dyDescent="0.2">
      <c r="Q791" s="660" t="s">
        <v>28</v>
      </c>
    </row>
    <row r="803" spans="17:17" x14ac:dyDescent="0.2">
      <c r="Q803" s="660" t="s">
        <v>29</v>
      </c>
    </row>
    <row r="807" spans="17:17" x14ac:dyDescent="0.2">
      <c r="Q807" s="660" t="s">
        <v>1015</v>
      </c>
    </row>
    <row r="809" spans="17:17" x14ac:dyDescent="0.2">
      <c r="Q809" s="660" t="e">
        <v>#N/A</v>
      </c>
    </row>
    <row r="814" spans="17:17" x14ac:dyDescent="0.2">
      <c r="Q814" s="660" t="s">
        <v>32</v>
      </c>
    </row>
    <row r="831" spans="17:17" x14ac:dyDescent="0.2">
      <c r="Q831" s="660">
        <v>0</v>
      </c>
    </row>
    <row r="832" spans="17:17" x14ac:dyDescent="0.2">
      <c r="Q832" s="660">
        <v>0</v>
      </c>
    </row>
    <row r="833" spans="17:17" x14ac:dyDescent="0.2">
      <c r="Q833" s="660">
        <v>0</v>
      </c>
    </row>
    <row r="834" spans="17:17" x14ac:dyDescent="0.2">
      <c r="Q834" s="660">
        <v>0</v>
      </c>
    </row>
    <row r="835" spans="17:17" x14ac:dyDescent="0.2">
      <c r="Q835" s="660">
        <v>0</v>
      </c>
    </row>
    <row r="836" spans="17:17" x14ac:dyDescent="0.2">
      <c r="Q836" s="660" t="s">
        <v>27</v>
      </c>
    </row>
    <row r="839" spans="17:17" x14ac:dyDescent="0.2">
      <c r="Q839" s="660">
        <v>5500</v>
      </c>
    </row>
    <row r="840" spans="17:17" x14ac:dyDescent="0.2">
      <c r="Q840" s="660" t="s">
        <v>28</v>
      </c>
    </row>
    <row r="852" spans="17:17" x14ac:dyDescent="0.2">
      <c r="Q852" s="660" t="s">
        <v>29</v>
      </c>
    </row>
    <row r="856" spans="17:17" x14ac:dyDescent="0.2">
      <c r="Q856" s="660" t="s">
        <v>1015</v>
      </c>
    </row>
    <row r="858" spans="17:17" x14ac:dyDescent="0.2">
      <c r="Q858" s="660" t="e">
        <v>#N/A</v>
      </c>
    </row>
    <row r="863" spans="17:17" x14ac:dyDescent="0.2">
      <c r="Q863" s="660" t="s">
        <v>32</v>
      </c>
    </row>
    <row r="878" spans="17:17" x14ac:dyDescent="0.2">
      <c r="Q878" s="660">
        <v>0</v>
      </c>
    </row>
    <row r="879" spans="17:17" x14ac:dyDescent="0.2">
      <c r="Q879" s="660">
        <v>0</v>
      </c>
    </row>
    <row r="880" spans="17:17" x14ac:dyDescent="0.2">
      <c r="Q880" s="660">
        <v>0</v>
      </c>
    </row>
    <row r="881" spans="17:17" x14ac:dyDescent="0.2">
      <c r="Q881" s="660">
        <v>0</v>
      </c>
    </row>
    <row r="882" spans="17:17" x14ac:dyDescent="0.2">
      <c r="Q882" s="660">
        <v>0</v>
      </c>
    </row>
    <row r="883" spans="17:17" x14ac:dyDescent="0.2">
      <c r="Q883" s="660" t="s">
        <v>27</v>
      </c>
    </row>
    <row r="886" spans="17:17" x14ac:dyDescent="0.2">
      <c r="Q886" s="660">
        <v>2333.3333333333335</v>
      </c>
    </row>
    <row r="887" spans="17:17" x14ac:dyDescent="0.2">
      <c r="Q887" s="660" t="s">
        <v>28</v>
      </c>
    </row>
    <row r="899" spans="17:17" x14ac:dyDescent="0.2">
      <c r="Q899" s="660" t="s">
        <v>29</v>
      </c>
    </row>
    <row r="902" spans="17:17" x14ac:dyDescent="0.2">
      <c r="Q902" s="660" t="s">
        <v>1015</v>
      </c>
    </row>
    <row r="904" spans="17:17" x14ac:dyDescent="0.2">
      <c r="Q904" s="660" t="e">
        <v>#N/A</v>
      </c>
    </row>
    <row r="909" spans="17:17" x14ac:dyDescent="0.2">
      <c r="Q909" s="660" t="s">
        <v>32</v>
      </c>
    </row>
    <row r="924" spans="17:17" x14ac:dyDescent="0.2">
      <c r="Q924" s="660">
        <v>0</v>
      </c>
    </row>
    <row r="925" spans="17:17" x14ac:dyDescent="0.2">
      <c r="Q925" s="660">
        <v>0</v>
      </c>
    </row>
    <row r="926" spans="17:17" x14ac:dyDescent="0.2">
      <c r="Q926" s="660">
        <v>0</v>
      </c>
    </row>
    <row r="927" spans="17:17" x14ac:dyDescent="0.2">
      <c r="Q927" s="660">
        <v>0</v>
      </c>
    </row>
    <row r="928" spans="17:17" x14ac:dyDescent="0.2">
      <c r="Q928" s="660">
        <v>0</v>
      </c>
    </row>
    <row r="929" spans="17:17" x14ac:dyDescent="0.2">
      <c r="Q929" s="660" t="s">
        <v>27</v>
      </c>
    </row>
    <row r="932" spans="17:17" x14ac:dyDescent="0.2">
      <c r="Q932" s="660">
        <v>290</v>
      </c>
    </row>
    <row r="933" spans="17:17" x14ac:dyDescent="0.2">
      <c r="Q933" s="660" t="s">
        <v>28</v>
      </c>
    </row>
    <row r="945" spans="17:17" x14ac:dyDescent="0.2">
      <c r="Q945" s="660" t="s">
        <v>29</v>
      </c>
    </row>
    <row r="948" spans="17:17" x14ac:dyDescent="0.2">
      <c r="Q948" s="660" t="s">
        <v>1015</v>
      </c>
    </row>
    <row r="950" spans="17:17" x14ac:dyDescent="0.2">
      <c r="Q950" s="660" t="e">
        <v>#N/A</v>
      </c>
    </row>
    <row r="955" spans="17:17" x14ac:dyDescent="0.2">
      <c r="Q955" s="660" t="s">
        <v>32</v>
      </c>
    </row>
    <row r="969" spans="17:17" x14ac:dyDescent="0.2">
      <c r="Q969" s="660">
        <v>0</v>
      </c>
    </row>
    <row r="970" spans="17:17" x14ac:dyDescent="0.2">
      <c r="Q970" s="660">
        <v>0</v>
      </c>
    </row>
    <row r="971" spans="17:17" x14ac:dyDescent="0.2">
      <c r="Q971" s="660">
        <v>0</v>
      </c>
    </row>
    <row r="972" spans="17:17" x14ac:dyDescent="0.2">
      <c r="Q972" s="660">
        <v>0</v>
      </c>
    </row>
    <row r="973" spans="17:17" x14ac:dyDescent="0.2">
      <c r="Q973" s="660">
        <v>0</v>
      </c>
    </row>
    <row r="974" spans="17:17" x14ac:dyDescent="0.2">
      <c r="Q974" s="660" t="s">
        <v>27</v>
      </c>
    </row>
    <row r="977" spans="17:17" x14ac:dyDescent="0.2">
      <c r="Q977" s="660">
        <v>3</v>
      </c>
    </row>
    <row r="978" spans="17:17" x14ac:dyDescent="0.2">
      <c r="Q978" s="660" t="s">
        <v>28</v>
      </c>
    </row>
    <row r="991" spans="17:17" x14ac:dyDescent="0.2">
      <c r="Q991" s="660" t="s">
        <v>29</v>
      </c>
    </row>
    <row r="994" spans="17:17" x14ac:dyDescent="0.2">
      <c r="Q994" s="660" t="s">
        <v>1015</v>
      </c>
    </row>
    <row r="996" spans="17:17" x14ac:dyDescent="0.2">
      <c r="Q996" s="660" t="e">
        <v>#N/A</v>
      </c>
    </row>
    <row r="1001" spans="17:17" x14ac:dyDescent="0.2">
      <c r="Q1001" s="660" t="s">
        <v>32</v>
      </c>
    </row>
    <row r="1015" spans="17:17" x14ac:dyDescent="0.2">
      <c r="Q1015" s="660">
        <v>0</v>
      </c>
    </row>
    <row r="1016" spans="17:17" x14ac:dyDescent="0.2">
      <c r="Q1016" s="660">
        <v>0</v>
      </c>
    </row>
    <row r="1017" spans="17:17" x14ac:dyDescent="0.2">
      <c r="Q1017" s="660">
        <v>0</v>
      </c>
    </row>
    <row r="1018" spans="17:17" x14ac:dyDescent="0.2">
      <c r="Q1018" s="660">
        <v>0</v>
      </c>
    </row>
    <row r="1019" spans="17:17" x14ac:dyDescent="0.2">
      <c r="Q1019" s="660">
        <v>0</v>
      </c>
    </row>
    <row r="1020" spans="17:17" x14ac:dyDescent="0.2">
      <c r="Q1020" s="660" t="s">
        <v>27</v>
      </c>
    </row>
    <row r="1023" spans="17:17" x14ac:dyDescent="0.2">
      <c r="Q1023" s="660">
        <v>3</v>
      </c>
    </row>
    <row r="1024" spans="17:17" x14ac:dyDescent="0.2">
      <c r="Q1024" s="660" t="s">
        <v>28</v>
      </c>
    </row>
    <row r="1037" spans="17:17" x14ac:dyDescent="0.2">
      <c r="Q1037" s="660" t="s">
        <v>29</v>
      </c>
    </row>
    <row r="1041" spans="17:17" x14ac:dyDescent="0.2">
      <c r="Q1041" s="660" t="s">
        <v>1015</v>
      </c>
    </row>
    <row r="1043" spans="17:17" x14ac:dyDescent="0.2">
      <c r="Q1043" s="660" t="e">
        <v>#N/A</v>
      </c>
    </row>
    <row r="1048" spans="17:17" x14ac:dyDescent="0.2">
      <c r="Q1048" s="660" t="s">
        <v>32</v>
      </c>
    </row>
    <row r="1063" spans="17:17" x14ac:dyDescent="0.2">
      <c r="Q1063" s="660">
        <v>0</v>
      </c>
    </row>
    <row r="1064" spans="17:17" x14ac:dyDescent="0.2">
      <c r="Q1064" s="660">
        <v>0</v>
      </c>
    </row>
    <row r="1065" spans="17:17" x14ac:dyDescent="0.2">
      <c r="Q1065" s="660">
        <v>0</v>
      </c>
    </row>
    <row r="1066" spans="17:17" x14ac:dyDescent="0.2">
      <c r="Q1066" s="660">
        <v>0</v>
      </c>
    </row>
    <row r="1067" spans="17:17" x14ac:dyDescent="0.2">
      <c r="Q1067" s="660">
        <v>0</v>
      </c>
    </row>
    <row r="1068" spans="17:17" x14ac:dyDescent="0.2">
      <c r="Q1068" s="660" t="s">
        <v>27</v>
      </c>
    </row>
    <row r="1071" spans="17:17" x14ac:dyDescent="0.2">
      <c r="Q1071" s="660">
        <v>7</v>
      </c>
    </row>
    <row r="1072" spans="17:17" x14ac:dyDescent="0.2">
      <c r="Q1072" s="660" t="s">
        <v>28</v>
      </c>
    </row>
    <row r="1080" spans="17:17" x14ac:dyDescent="0.2">
      <c r="Q1080" s="660" t="s">
        <v>29</v>
      </c>
    </row>
    <row r="1084" spans="17:17" x14ac:dyDescent="0.2">
      <c r="Q1084" s="660" t="s">
        <v>1015</v>
      </c>
    </row>
    <row r="1086" spans="17:17" x14ac:dyDescent="0.2">
      <c r="Q1086" s="660" t="e">
        <v>#N/A</v>
      </c>
    </row>
    <row r="1091" spans="17:17" x14ac:dyDescent="0.2">
      <c r="Q1091" s="660" t="s">
        <v>32</v>
      </c>
    </row>
    <row r="1106" spans="17:17" x14ac:dyDescent="0.2">
      <c r="Q1106" s="660">
        <v>0</v>
      </c>
    </row>
    <row r="1107" spans="17:17" x14ac:dyDescent="0.2">
      <c r="Q1107" s="660">
        <v>0</v>
      </c>
    </row>
    <row r="1108" spans="17:17" x14ac:dyDescent="0.2">
      <c r="Q1108" s="660">
        <v>0</v>
      </c>
    </row>
    <row r="1109" spans="17:17" x14ac:dyDescent="0.2">
      <c r="Q1109" s="660">
        <v>0</v>
      </c>
    </row>
    <row r="1110" spans="17:17" x14ac:dyDescent="0.2">
      <c r="Q1110" s="660">
        <v>0</v>
      </c>
    </row>
    <row r="1111" spans="17:17" x14ac:dyDescent="0.2">
      <c r="Q1111" s="660" t="s">
        <v>27</v>
      </c>
    </row>
    <row r="1114" spans="17:17" x14ac:dyDescent="0.2">
      <c r="Q1114" s="660">
        <v>5</v>
      </c>
    </row>
    <row r="1115" spans="17:17" x14ac:dyDescent="0.2">
      <c r="Q1115" s="660" t="s">
        <v>28</v>
      </c>
    </row>
    <row r="1126" spans="17:17" x14ac:dyDescent="0.2">
      <c r="Q1126" s="660" t="s">
        <v>29</v>
      </c>
    </row>
    <row r="1130" spans="17:17" x14ac:dyDescent="0.2">
      <c r="Q1130" s="660" t="s">
        <v>1015</v>
      </c>
    </row>
    <row r="1132" spans="17:17" x14ac:dyDescent="0.2">
      <c r="Q1132" s="660" t="e">
        <v>#N/A</v>
      </c>
    </row>
    <row r="1137" spans="17:17" x14ac:dyDescent="0.2">
      <c r="Q1137" s="660" t="s">
        <v>32</v>
      </c>
    </row>
    <row r="1152" spans="17:17" x14ac:dyDescent="0.2">
      <c r="Q1152" s="660">
        <v>0</v>
      </c>
    </row>
    <row r="1153" spans="17:17" x14ac:dyDescent="0.2">
      <c r="Q1153" s="660">
        <v>0</v>
      </c>
    </row>
    <row r="1154" spans="17:17" x14ac:dyDescent="0.2">
      <c r="Q1154" s="660">
        <v>0</v>
      </c>
    </row>
    <row r="1155" spans="17:17" x14ac:dyDescent="0.2">
      <c r="Q1155" s="660">
        <v>0</v>
      </c>
    </row>
    <row r="1156" spans="17:17" x14ac:dyDescent="0.2">
      <c r="Q1156" s="660">
        <v>0</v>
      </c>
    </row>
    <row r="1157" spans="17:17" x14ac:dyDescent="0.2">
      <c r="Q1157" s="660" t="s">
        <v>27</v>
      </c>
    </row>
    <row r="1160" spans="17:17" x14ac:dyDescent="0.2">
      <c r="Q1160" s="660">
        <v>3</v>
      </c>
    </row>
    <row r="1161" spans="17:17" x14ac:dyDescent="0.2">
      <c r="Q1161" s="660" t="s">
        <v>28</v>
      </c>
    </row>
    <row r="1170" spans="17:17" x14ac:dyDescent="0.2">
      <c r="Q1170" s="660" t="s">
        <v>29</v>
      </c>
    </row>
    <row r="1174" spans="17:17" x14ac:dyDescent="0.2">
      <c r="Q1174" s="660" t="s">
        <v>1015</v>
      </c>
    </row>
    <row r="1176" spans="17:17" x14ac:dyDescent="0.2">
      <c r="Q1176" s="660" t="e">
        <v>#N/A</v>
      </c>
    </row>
    <row r="1181" spans="17:17" x14ac:dyDescent="0.2">
      <c r="Q1181" s="660" t="s">
        <v>32</v>
      </c>
    </row>
    <row r="1198" spans="17:17" x14ac:dyDescent="0.2">
      <c r="Q1198" s="660">
        <v>0</v>
      </c>
    </row>
    <row r="1199" spans="17:17" x14ac:dyDescent="0.2">
      <c r="Q1199" s="660">
        <v>0</v>
      </c>
    </row>
    <row r="1200" spans="17:17" x14ac:dyDescent="0.2">
      <c r="Q1200" s="660">
        <v>0</v>
      </c>
    </row>
    <row r="1201" spans="17:17" x14ac:dyDescent="0.2">
      <c r="Q1201" s="660">
        <v>0</v>
      </c>
    </row>
    <row r="1202" spans="17:17" x14ac:dyDescent="0.2">
      <c r="Q1202" s="660">
        <v>0</v>
      </c>
    </row>
    <row r="1203" spans="17:17" x14ac:dyDescent="0.2">
      <c r="Q1203" s="660" t="s">
        <v>27</v>
      </c>
    </row>
    <row r="1206" spans="17:17" x14ac:dyDescent="0.2">
      <c r="Q1206" s="660">
        <v>0.2</v>
      </c>
    </row>
    <row r="1207" spans="17:17" x14ac:dyDescent="0.2">
      <c r="Q1207" s="660" t="s">
        <v>28</v>
      </c>
    </row>
    <row r="1220" spans="17:17" x14ac:dyDescent="0.2">
      <c r="Q1220" s="660" t="s">
        <v>29</v>
      </c>
    </row>
    <row r="1224" spans="17:17" x14ac:dyDescent="0.2">
      <c r="Q1224" s="660" t="s">
        <v>1015</v>
      </c>
    </row>
    <row r="1226" spans="17:17" x14ac:dyDescent="0.2">
      <c r="Q1226" s="660" t="e">
        <v>#N/A</v>
      </c>
    </row>
    <row r="1231" spans="17:17" x14ac:dyDescent="0.2">
      <c r="Q1231" s="660" t="s">
        <v>32</v>
      </c>
    </row>
    <row r="1249" spans="17:17" x14ac:dyDescent="0.2">
      <c r="Q1249" s="660">
        <v>0</v>
      </c>
    </row>
    <row r="1250" spans="17:17" x14ac:dyDescent="0.2">
      <c r="Q1250" s="660">
        <v>0</v>
      </c>
    </row>
    <row r="1251" spans="17:17" x14ac:dyDescent="0.2">
      <c r="Q1251" s="660">
        <v>0</v>
      </c>
    </row>
    <row r="1252" spans="17:17" x14ac:dyDescent="0.2">
      <c r="Q1252" s="660">
        <v>0</v>
      </c>
    </row>
    <row r="1253" spans="17:17" x14ac:dyDescent="0.2">
      <c r="Q1253" s="660">
        <v>0</v>
      </c>
    </row>
    <row r="1254" spans="17:17" x14ac:dyDescent="0.2">
      <c r="Q1254" s="660" t="s">
        <v>27</v>
      </c>
    </row>
    <row r="1257" spans="17:17" x14ac:dyDescent="0.2">
      <c r="Q1257" s="660">
        <v>0.2</v>
      </c>
    </row>
    <row r="1258" spans="17:17" x14ac:dyDescent="0.2">
      <c r="Q1258" s="660" t="s">
        <v>28</v>
      </c>
    </row>
    <row r="1270" spans="17:17" x14ac:dyDescent="0.2">
      <c r="Q1270" s="660" t="s">
        <v>29</v>
      </c>
    </row>
    <row r="1274" spans="17:17" x14ac:dyDescent="0.2">
      <c r="Q1274" s="660" t="s">
        <v>1015</v>
      </c>
    </row>
    <row r="1276" spans="17:17" x14ac:dyDescent="0.2">
      <c r="Q1276" s="660" t="e">
        <v>#N/A</v>
      </c>
    </row>
    <row r="1280" spans="17:17" x14ac:dyDescent="0.2">
      <c r="Q1280" s="660" t="s">
        <v>32</v>
      </c>
    </row>
    <row r="1297" spans="17:17" x14ac:dyDescent="0.2">
      <c r="Q1297" s="660">
        <v>0</v>
      </c>
    </row>
    <row r="1298" spans="17:17" x14ac:dyDescent="0.2">
      <c r="Q1298" s="660">
        <v>0</v>
      </c>
    </row>
    <row r="1299" spans="17:17" x14ac:dyDescent="0.2">
      <c r="Q1299" s="660">
        <v>0</v>
      </c>
    </row>
    <row r="1300" spans="17:17" x14ac:dyDescent="0.2">
      <c r="Q1300" s="660">
        <v>0</v>
      </c>
    </row>
    <row r="1301" spans="17:17" x14ac:dyDescent="0.2">
      <c r="Q1301" s="660">
        <v>0</v>
      </c>
    </row>
    <row r="1302" spans="17:17" x14ac:dyDescent="0.2">
      <c r="Q1302" s="660" t="s">
        <v>27</v>
      </c>
    </row>
    <row r="1305" spans="17:17" x14ac:dyDescent="0.2">
      <c r="Q1305" s="660">
        <v>0.2</v>
      </c>
    </row>
    <row r="1306" spans="17:17" x14ac:dyDescent="0.2">
      <c r="Q1306" s="660" t="s">
        <v>28</v>
      </c>
    </row>
    <row r="1319" spans="17:17" x14ac:dyDescent="0.2">
      <c r="Q1319" s="660" t="s">
        <v>29</v>
      </c>
    </row>
    <row r="1323" spans="17:17" x14ac:dyDescent="0.2">
      <c r="Q1323" s="660" t="s">
        <v>1015</v>
      </c>
    </row>
    <row r="1325" spans="17:17" x14ac:dyDescent="0.2">
      <c r="Q1325" s="660" t="e">
        <v>#N/A</v>
      </c>
    </row>
    <row r="1329" spans="17:17" x14ac:dyDescent="0.2">
      <c r="Q1329" s="660" t="s">
        <v>32</v>
      </c>
    </row>
    <row r="1346" spans="17:17" x14ac:dyDescent="0.2">
      <c r="Q1346" s="660">
        <v>0</v>
      </c>
    </row>
    <row r="1347" spans="17:17" x14ac:dyDescent="0.2">
      <c r="Q1347" s="660">
        <v>0</v>
      </c>
    </row>
    <row r="1348" spans="17:17" x14ac:dyDescent="0.2">
      <c r="Q1348" s="660">
        <v>0</v>
      </c>
    </row>
    <row r="1349" spans="17:17" x14ac:dyDescent="0.2">
      <c r="Q1349" s="660">
        <v>0</v>
      </c>
    </row>
    <row r="1350" spans="17:17" x14ac:dyDescent="0.2">
      <c r="Q1350" s="660">
        <v>0</v>
      </c>
    </row>
    <row r="1351" spans="17:17" x14ac:dyDescent="0.2">
      <c r="Q1351" s="660" t="s">
        <v>27</v>
      </c>
    </row>
    <row r="1354" spans="17:17" x14ac:dyDescent="0.2">
      <c r="Q1354" s="660">
        <v>600</v>
      </c>
    </row>
    <row r="1355" spans="17:17" x14ac:dyDescent="0.2">
      <c r="Q1355" s="660" t="s">
        <v>28</v>
      </c>
    </row>
    <row r="1368" spans="17:17" x14ac:dyDescent="0.2">
      <c r="Q1368" s="660" t="s">
        <v>29</v>
      </c>
    </row>
    <row r="1372" spans="17:17" x14ac:dyDescent="0.2">
      <c r="Q1372" s="660" t="s">
        <v>1015</v>
      </c>
    </row>
    <row r="1374" spans="17:17" x14ac:dyDescent="0.2">
      <c r="Q1374" s="660" t="e">
        <v>#N/A</v>
      </c>
    </row>
    <row r="1378" spans="17:17" x14ac:dyDescent="0.2">
      <c r="Q1378" s="660" t="s">
        <v>32</v>
      </c>
    </row>
    <row r="1395" spans="17:17" x14ac:dyDescent="0.2">
      <c r="Q1395" s="660">
        <v>0</v>
      </c>
    </row>
    <row r="1396" spans="17:17" x14ac:dyDescent="0.2">
      <c r="Q1396" s="660">
        <v>0</v>
      </c>
    </row>
    <row r="1397" spans="17:17" x14ac:dyDescent="0.2">
      <c r="Q1397" s="660">
        <v>0</v>
      </c>
    </row>
    <row r="1398" spans="17:17" x14ac:dyDescent="0.2">
      <c r="Q1398" s="660">
        <v>0</v>
      </c>
    </row>
    <row r="1399" spans="17:17" x14ac:dyDescent="0.2">
      <c r="Q1399" s="660">
        <v>0</v>
      </c>
    </row>
    <row r="1400" spans="17:17" x14ac:dyDescent="0.2">
      <c r="Q1400" s="660" t="s">
        <v>27</v>
      </c>
    </row>
    <row r="1403" spans="17:17" x14ac:dyDescent="0.2">
      <c r="Q1403" s="660">
        <v>8.5000000000000006E-3</v>
      </c>
    </row>
    <row r="1404" spans="17:17" x14ac:dyDescent="0.2">
      <c r="Q1404" s="660" t="s">
        <v>28</v>
      </c>
    </row>
    <row r="1416" spans="17:17" x14ac:dyDescent="0.2">
      <c r="Q1416" s="660" t="s">
        <v>29</v>
      </c>
    </row>
    <row r="1420" spans="17:17" x14ac:dyDescent="0.2">
      <c r="Q1420" s="660" t="s">
        <v>1015</v>
      </c>
    </row>
    <row r="1422" spans="17:17" x14ac:dyDescent="0.2">
      <c r="Q1422" s="660"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67" customWidth="1"/>
    <col min="2" max="2" width="12.42578125" style="548" customWidth="1"/>
    <col min="3" max="3" width="48.5703125" style="548" customWidth="1"/>
    <col min="4" max="4" width="9" style="548" customWidth="1"/>
    <col min="5" max="5" width="13.5703125" style="548" bestFit="1" customWidth="1"/>
    <col min="6" max="16384" width="11.42578125" style="548"/>
  </cols>
  <sheetData>
    <row r="1" spans="1:6" s="660" customFormat="1" x14ac:dyDescent="0.2">
      <c r="A1" s="660" t="s">
        <v>2073</v>
      </c>
    </row>
    <row r="2" spans="1:6" s="660" customFormat="1" x14ac:dyDescent="0.2">
      <c r="A2" s="660" t="s">
        <v>2074</v>
      </c>
    </row>
    <row r="3" spans="1:6" s="660" customFormat="1" x14ac:dyDescent="0.2">
      <c r="A3" s="660" t="s">
        <v>2075</v>
      </c>
    </row>
    <row r="4" spans="1:6" s="660" customFormat="1" x14ac:dyDescent="0.2"/>
    <row r="5" spans="1:6" s="660" customFormat="1" x14ac:dyDescent="0.2"/>
    <row r="6" spans="1:6" ht="15.75" x14ac:dyDescent="0.2">
      <c r="B6" s="832" t="s">
        <v>1855</v>
      </c>
      <c r="C6" s="832"/>
      <c r="D6" s="832"/>
      <c r="E6" s="832"/>
      <c r="F6" s="832"/>
    </row>
    <row r="8" spans="1:6" s="669" customFormat="1" x14ac:dyDescent="0.2">
      <c r="A8" s="668"/>
      <c r="B8" s="562" t="s">
        <v>1854</v>
      </c>
      <c r="C8" s="562" t="s">
        <v>1815</v>
      </c>
      <c r="D8" s="562" t="s">
        <v>1</v>
      </c>
      <c r="E8" s="831" t="s">
        <v>1856</v>
      </c>
      <c r="F8" s="831"/>
    </row>
    <row r="9" spans="1:6" x14ac:dyDescent="0.2">
      <c r="B9" s="670"/>
      <c r="C9" s="670"/>
      <c r="D9" s="670"/>
      <c r="E9" s="671"/>
      <c r="F9" s="672"/>
    </row>
    <row r="10" spans="1:6" x14ac:dyDescent="0.2">
      <c r="A10" s="668">
        <v>1</v>
      </c>
      <c r="B10" s="562" t="str">
        <f t="shared" ref="B10:B47" si="0">IFERROR(VLOOKUP(A10,T_NumeroItem,2,FALSE),"")</f>
        <v>1.1</v>
      </c>
      <c r="C10" s="547" t="str">
        <f t="shared" ref="C10:C47" si="1">IFERROR(VLOOKUP(B10,T_Datos,2,FALSE),"")</f>
        <v>Topador D8 potencia minima 270hp</v>
      </c>
      <c r="D10" s="562" t="str">
        <f t="shared" ref="D10:D47" si="2">IFERROR(VLOOKUP(B10,T_Datos,3,FALSE),"")</f>
        <v>h</v>
      </c>
      <c r="E10" s="671"/>
      <c r="F10" s="673" t="str">
        <f>D10&amp;"/dia"</f>
        <v>h/dia</v>
      </c>
    </row>
    <row r="11" spans="1:6" x14ac:dyDescent="0.2">
      <c r="A11" s="668">
        <v>2</v>
      </c>
      <c r="B11" s="562">
        <f t="shared" si="0"/>
        <v>2.1</v>
      </c>
      <c r="C11" s="547" t="str">
        <f t="shared" si="1"/>
        <v>Topador D8 potencia minima 270hp</v>
      </c>
      <c r="D11" s="562" t="str">
        <f t="shared" si="2"/>
        <v>h</v>
      </c>
      <c r="E11" s="671"/>
      <c r="F11" s="673" t="str">
        <f t="shared" ref="F11:F47" si="3">D11&amp;"/dia"</f>
        <v>h/dia</v>
      </c>
    </row>
    <row r="12" spans="1:6" x14ac:dyDescent="0.2">
      <c r="A12" s="668">
        <v>3</v>
      </c>
      <c r="B12" s="562" t="str">
        <f t="shared" si="0"/>
        <v/>
      </c>
      <c r="C12" s="547" t="str">
        <f t="shared" si="1"/>
        <v/>
      </c>
      <c r="D12" s="562" t="str">
        <f t="shared" si="2"/>
        <v/>
      </c>
      <c r="E12" s="671"/>
      <c r="F12" s="673" t="str">
        <f t="shared" si="3"/>
        <v>/dia</v>
      </c>
    </row>
    <row r="13" spans="1:6" x14ac:dyDescent="0.2">
      <c r="A13" s="668">
        <v>4</v>
      </c>
      <c r="B13" s="562" t="str">
        <f t="shared" si="0"/>
        <v/>
      </c>
      <c r="C13" s="547" t="str">
        <f t="shared" si="1"/>
        <v/>
      </c>
      <c r="D13" s="562" t="str">
        <f t="shared" si="2"/>
        <v/>
      </c>
      <c r="E13" s="671"/>
      <c r="F13" s="673" t="str">
        <f t="shared" si="3"/>
        <v>/dia</v>
      </c>
    </row>
    <row r="14" spans="1:6" x14ac:dyDescent="0.2">
      <c r="A14" s="668">
        <v>5</v>
      </c>
      <c r="B14" s="562" t="str">
        <f t="shared" si="0"/>
        <v/>
      </c>
      <c r="C14" s="547" t="str">
        <f t="shared" si="1"/>
        <v/>
      </c>
      <c r="D14" s="562" t="str">
        <f t="shared" si="2"/>
        <v/>
      </c>
      <c r="E14" s="671"/>
      <c r="F14" s="673" t="str">
        <f t="shared" si="3"/>
        <v>/dia</v>
      </c>
    </row>
    <row r="15" spans="1:6" x14ac:dyDescent="0.2">
      <c r="A15" s="668">
        <v>6</v>
      </c>
      <c r="B15" s="562" t="str">
        <f t="shared" si="0"/>
        <v/>
      </c>
      <c r="C15" s="547" t="str">
        <f t="shared" si="1"/>
        <v/>
      </c>
      <c r="D15" s="562" t="str">
        <f t="shared" si="2"/>
        <v/>
      </c>
      <c r="E15" s="671"/>
      <c r="F15" s="673" t="str">
        <f t="shared" si="3"/>
        <v>/dia</v>
      </c>
    </row>
    <row r="16" spans="1:6" x14ac:dyDescent="0.2">
      <c r="A16" s="668">
        <v>7</v>
      </c>
      <c r="B16" s="562" t="str">
        <f t="shared" si="0"/>
        <v/>
      </c>
      <c r="C16" s="547" t="str">
        <f t="shared" si="1"/>
        <v/>
      </c>
      <c r="D16" s="562" t="str">
        <f t="shared" si="2"/>
        <v/>
      </c>
      <c r="E16" s="671"/>
      <c r="F16" s="673" t="str">
        <f t="shared" si="3"/>
        <v>/dia</v>
      </c>
    </row>
    <row r="17" spans="1:6" x14ac:dyDescent="0.2">
      <c r="A17" s="668">
        <v>8</v>
      </c>
      <c r="B17" s="562" t="str">
        <f t="shared" si="0"/>
        <v/>
      </c>
      <c r="C17" s="547" t="str">
        <f t="shared" si="1"/>
        <v/>
      </c>
      <c r="D17" s="562" t="str">
        <f t="shared" si="2"/>
        <v/>
      </c>
      <c r="E17" s="671"/>
      <c r="F17" s="673" t="str">
        <f t="shared" si="3"/>
        <v>/dia</v>
      </c>
    </row>
    <row r="18" spans="1:6" x14ac:dyDescent="0.2">
      <c r="A18" s="668">
        <v>9</v>
      </c>
      <c r="B18" s="562" t="str">
        <f t="shared" si="0"/>
        <v/>
      </c>
      <c r="C18" s="547" t="str">
        <f t="shared" si="1"/>
        <v/>
      </c>
      <c r="D18" s="562" t="str">
        <f t="shared" si="2"/>
        <v/>
      </c>
      <c r="E18" s="671"/>
      <c r="F18" s="673" t="str">
        <f t="shared" si="3"/>
        <v>/dia</v>
      </c>
    </row>
    <row r="19" spans="1:6" x14ac:dyDescent="0.2">
      <c r="A19" s="668">
        <v>10</v>
      </c>
      <c r="B19" s="562" t="str">
        <f t="shared" si="0"/>
        <v/>
      </c>
      <c r="C19" s="547" t="str">
        <f t="shared" si="1"/>
        <v/>
      </c>
      <c r="D19" s="562" t="str">
        <f t="shared" si="2"/>
        <v/>
      </c>
      <c r="E19" s="671"/>
      <c r="F19" s="673" t="str">
        <f t="shared" si="3"/>
        <v>/dia</v>
      </c>
    </row>
    <row r="20" spans="1:6" x14ac:dyDescent="0.2">
      <c r="A20" s="668">
        <v>11</v>
      </c>
      <c r="B20" s="562" t="str">
        <f t="shared" si="0"/>
        <v/>
      </c>
      <c r="C20" s="547" t="str">
        <f t="shared" si="1"/>
        <v/>
      </c>
      <c r="D20" s="562" t="str">
        <f t="shared" si="2"/>
        <v/>
      </c>
      <c r="E20" s="671"/>
      <c r="F20" s="673" t="str">
        <f t="shared" si="3"/>
        <v>/dia</v>
      </c>
    </row>
    <row r="21" spans="1:6" x14ac:dyDescent="0.2">
      <c r="A21" s="668">
        <v>12</v>
      </c>
      <c r="B21" s="562" t="str">
        <f t="shared" si="0"/>
        <v/>
      </c>
      <c r="C21" s="547" t="str">
        <f t="shared" si="1"/>
        <v/>
      </c>
      <c r="D21" s="562" t="str">
        <f t="shared" si="2"/>
        <v/>
      </c>
      <c r="E21" s="671"/>
      <c r="F21" s="673" t="str">
        <f t="shared" si="3"/>
        <v>/dia</v>
      </c>
    </row>
    <row r="22" spans="1:6" x14ac:dyDescent="0.2">
      <c r="A22" s="668">
        <v>13</v>
      </c>
      <c r="B22" s="562" t="str">
        <f t="shared" si="0"/>
        <v/>
      </c>
      <c r="C22" s="547" t="str">
        <f t="shared" si="1"/>
        <v/>
      </c>
      <c r="D22" s="562" t="str">
        <f t="shared" si="2"/>
        <v/>
      </c>
      <c r="E22" s="671"/>
      <c r="F22" s="673" t="str">
        <f t="shared" si="3"/>
        <v>/dia</v>
      </c>
    </row>
    <row r="23" spans="1:6" x14ac:dyDescent="0.2">
      <c r="A23" s="668">
        <v>14</v>
      </c>
      <c r="B23" s="562" t="str">
        <f t="shared" si="0"/>
        <v/>
      </c>
      <c r="C23" s="547" t="str">
        <f t="shared" si="1"/>
        <v/>
      </c>
      <c r="D23" s="562" t="str">
        <f t="shared" si="2"/>
        <v/>
      </c>
      <c r="E23" s="671"/>
      <c r="F23" s="673" t="str">
        <f t="shared" si="3"/>
        <v>/dia</v>
      </c>
    </row>
    <row r="24" spans="1:6" x14ac:dyDescent="0.2">
      <c r="A24" s="668">
        <v>15</v>
      </c>
      <c r="B24" s="562" t="str">
        <f t="shared" si="0"/>
        <v/>
      </c>
      <c r="C24" s="547" t="str">
        <f t="shared" si="1"/>
        <v/>
      </c>
      <c r="D24" s="562" t="str">
        <f t="shared" si="2"/>
        <v/>
      </c>
      <c r="E24" s="671"/>
      <c r="F24" s="673" t="str">
        <f t="shared" si="3"/>
        <v>/dia</v>
      </c>
    </row>
    <row r="25" spans="1:6" x14ac:dyDescent="0.2">
      <c r="A25" s="668">
        <v>16</v>
      </c>
      <c r="B25" s="562" t="str">
        <f t="shared" si="0"/>
        <v/>
      </c>
      <c r="C25" s="547" t="str">
        <f t="shared" si="1"/>
        <v/>
      </c>
      <c r="D25" s="562" t="str">
        <f t="shared" si="2"/>
        <v/>
      </c>
      <c r="E25" s="671"/>
      <c r="F25" s="673" t="str">
        <f t="shared" si="3"/>
        <v>/dia</v>
      </c>
    </row>
    <row r="26" spans="1:6" x14ac:dyDescent="0.2">
      <c r="A26" s="668">
        <v>17</v>
      </c>
      <c r="B26" s="562" t="str">
        <f t="shared" si="0"/>
        <v/>
      </c>
      <c r="C26" s="547" t="str">
        <f t="shared" si="1"/>
        <v/>
      </c>
      <c r="D26" s="562" t="str">
        <f t="shared" si="2"/>
        <v/>
      </c>
      <c r="E26" s="671"/>
      <c r="F26" s="673" t="str">
        <f t="shared" si="3"/>
        <v>/dia</v>
      </c>
    </row>
    <row r="27" spans="1:6" x14ac:dyDescent="0.2">
      <c r="A27" s="668">
        <v>18</v>
      </c>
      <c r="B27" s="562" t="str">
        <f t="shared" si="0"/>
        <v/>
      </c>
      <c r="C27" s="547" t="str">
        <f t="shared" si="1"/>
        <v/>
      </c>
      <c r="D27" s="562" t="str">
        <f t="shared" si="2"/>
        <v/>
      </c>
      <c r="E27" s="671"/>
      <c r="F27" s="673" t="str">
        <f t="shared" si="3"/>
        <v>/dia</v>
      </c>
    </row>
    <row r="28" spans="1:6" x14ac:dyDescent="0.2">
      <c r="A28" s="668">
        <v>19</v>
      </c>
      <c r="B28" s="562" t="str">
        <f t="shared" si="0"/>
        <v/>
      </c>
      <c r="C28" s="547" t="str">
        <f t="shared" si="1"/>
        <v/>
      </c>
      <c r="D28" s="562" t="str">
        <f t="shared" si="2"/>
        <v/>
      </c>
      <c r="E28" s="671"/>
      <c r="F28" s="673" t="str">
        <f t="shared" si="3"/>
        <v>/dia</v>
      </c>
    </row>
    <row r="29" spans="1:6" x14ac:dyDescent="0.2">
      <c r="A29" s="668">
        <v>20</v>
      </c>
      <c r="B29" s="562" t="str">
        <f t="shared" si="0"/>
        <v/>
      </c>
      <c r="C29" s="547" t="str">
        <f t="shared" si="1"/>
        <v/>
      </c>
      <c r="D29" s="562" t="str">
        <f t="shared" si="2"/>
        <v/>
      </c>
      <c r="E29" s="671"/>
      <c r="F29" s="673" t="str">
        <f t="shared" si="3"/>
        <v>/dia</v>
      </c>
    </row>
    <row r="30" spans="1:6" x14ac:dyDescent="0.2">
      <c r="A30" s="668">
        <v>21</v>
      </c>
      <c r="B30" s="562" t="str">
        <f t="shared" si="0"/>
        <v/>
      </c>
      <c r="C30" s="547" t="str">
        <f t="shared" si="1"/>
        <v/>
      </c>
      <c r="D30" s="562" t="str">
        <f t="shared" si="2"/>
        <v/>
      </c>
      <c r="E30" s="671"/>
      <c r="F30" s="673" t="str">
        <f t="shared" si="3"/>
        <v>/dia</v>
      </c>
    </row>
    <row r="31" spans="1:6" x14ac:dyDescent="0.2">
      <c r="A31" s="668">
        <v>22</v>
      </c>
      <c r="B31" s="562" t="str">
        <f t="shared" si="0"/>
        <v/>
      </c>
      <c r="C31" s="547" t="str">
        <f t="shared" si="1"/>
        <v/>
      </c>
      <c r="D31" s="562" t="str">
        <f t="shared" si="2"/>
        <v/>
      </c>
      <c r="E31" s="671"/>
      <c r="F31" s="673" t="str">
        <f t="shared" si="3"/>
        <v>/dia</v>
      </c>
    </row>
    <row r="32" spans="1:6" x14ac:dyDescent="0.2">
      <c r="A32" s="668">
        <v>23</v>
      </c>
      <c r="B32" s="562" t="str">
        <f t="shared" si="0"/>
        <v/>
      </c>
      <c r="C32" s="547" t="str">
        <f t="shared" si="1"/>
        <v/>
      </c>
      <c r="D32" s="562" t="str">
        <f t="shared" si="2"/>
        <v/>
      </c>
      <c r="E32" s="671"/>
      <c r="F32" s="673" t="str">
        <f t="shared" si="3"/>
        <v>/dia</v>
      </c>
    </row>
    <row r="33" spans="1:6" x14ac:dyDescent="0.2">
      <c r="A33" s="668">
        <v>24</v>
      </c>
      <c r="B33" s="562" t="str">
        <f t="shared" si="0"/>
        <v/>
      </c>
      <c r="C33" s="547" t="str">
        <f t="shared" si="1"/>
        <v/>
      </c>
      <c r="D33" s="562" t="str">
        <f t="shared" si="2"/>
        <v/>
      </c>
      <c r="E33" s="671"/>
      <c r="F33" s="673" t="str">
        <f t="shared" si="3"/>
        <v>/dia</v>
      </c>
    </row>
    <row r="34" spans="1:6" x14ac:dyDescent="0.2">
      <c r="A34" s="668">
        <v>25</v>
      </c>
      <c r="B34" s="562" t="str">
        <f t="shared" si="0"/>
        <v/>
      </c>
      <c r="C34" s="547" t="str">
        <f t="shared" si="1"/>
        <v/>
      </c>
      <c r="D34" s="562" t="str">
        <f t="shared" si="2"/>
        <v/>
      </c>
      <c r="E34" s="671"/>
      <c r="F34" s="673" t="str">
        <f t="shared" si="3"/>
        <v>/dia</v>
      </c>
    </row>
    <row r="35" spans="1:6" x14ac:dyDescent="0.2">
      <c r="A35" s="668">
        <v>26</v>
      </c>
      <c r="B35" s="562" t="str">
        <f t="shared" si="0"/>
        <v/>
      </c>
      <c r="C35" s="547" t="str">
        <f t="shared" si="1"/>
        <v/>
      </c>
      <c r="D35" s="562" t="str">
        <f t="shared" si="2"/>
        <v/>
      </c>
      <c r="E35" s="671"/>
      <c r="F35" s="673" t="str">
        <f t="shared" si="3"/>
        <v>/dia</v>
      </c>
    </row>
    <row r="36" spans="1:6" x14ac:dyDescent="0.2">
      <c r="A36" s="668">
        <v>27</v>
      </c>
      <c r="B36" s="562" t="str">
        <f t="shared" si="0"/>
        <v/>
      </c>
      <c r="C36" s="547" t="str">
        <f t="shared" si="1"/>
        <v/>
      </c>
      <c r="D36" s="562" t="str">
        <f t="shared" si="2"/>
        <v/>
      </c>
      <c r="E36" s="671"/>
      <c r="F36" s="673" t="str">
        <f t="shared" si="3"/>
        <v>/dia</v>
      </c>
    </row>
    <row r="37" spans="1:6" x14ac:dyDescent="0.2">
      <c r="A37" s="668">
        <v>28</v>
      </c>
      <c r="B37" s="562" t="str">
        <f t="shared" si="0"/>
        <v/>
      </c>
      <c r="C37" s="547" t="str">
        <f t="shared" si="1"/>
        <v/>
      </c>
      <c r="D37" s="562" t="str">
        <f t="shared" si="2"/>
        <v/>
      </c>
      <c r="E37" s="671"/>
      <c r="F37" s="673" t="str">
        <f t="shared" si="3"/>
        <v>/dia</v>
      </c>
    </row>
    <row r="38" spans="1:6" x14ac:dyDescent="0.2">
      <c r="A38" s="668">
        <v>29</v>
      </c>
      <c r="B38" s="562" t="str">
        <f t="shared" si="0"/>
        <v/>
      </c>
      <c r="C38" s="547" t="str">
        <f t="shared" si="1"/>
        <v/>
      </c>
      <c r="D38" s="562" t="str">
        <f t="shared" si="2"/>
        <v/>
      </c>
      <c r="E38" s="671"/>
      <c r="F38" s="673" t="str">
        <f t="shared" si="3"/>
        <v>/dia</v>
      </c>
    </row>
    <row r="39" spans="1:6" x14ac:dyDescent="0.2">
      <c r="A39" s="668">
        <v>30</v>
      </c>
      <c r="B39" s="562" t="str">
        <f t="shared" si="0"/>
        <v/>
      </c>
      <c r="C39" s="547" t="str">
        <f t="shared" si="1"/>
        <v/>
      </c>
      <c r="D39" s="562" t="str">
        <f t="shared" si="2"/>
        <v/>
      </c>
      <c r="E39" s="671"/>
      <c r="F39" s="673" t="str">
        <f t="shared" si="3"/>
        <v>/dia</v>
      </c>
    </row>
    <row r="40" spans="1:6" x14ac:dyDescent="0.2">
      <c r="A40" s="668">
        <v>31</v>
      </c>
      <c r="B40" s="562" t="str">
        <f t="shared" si="0"/>
        <v/>
      </c>
      <c r="C40" s="547" t="str">
        <f t="shared" si="1"/>
        <v/>
      </c>
      <c r="D40" s="562" t="str">
        <f t="shared" si="2"/>
        <v/>
      </c>
      <c r="E40" s="671"/>
      <c r="F40" s="673" t="str">
        <f t="shared" si="3"/>
        <v>/dia</v>
      </c>
    </row>
    <row r="41" spans="1:6" x14ac:dyDescent="0.2">
      <c r="A41" s="668">
        <v>32</v>
      </c>
      <c r="B41" s="562" t="str">
        <f t="shared" si="0"/>
        <v/>
      </c>
      <c r="C41" s="547" t="str">
        <f t="shared" si="1"/>
        <v/>
      </c>
      <c r="D41" s="562" t="str">
        <f t="shared" si="2"/>
        <v/>
      </c>
      <c r="E41" s="671"/>
      <c r="F41" s="673" t="str">
        <f t="shared" si="3"/>
        <v>/dia</v>
      </c>
    </row>
    <row r="42" spans="1:6" x14ac:dyDescent="0.2">
      <c r="A42" s="668">
        <v>33</v>
      </c>
      <c r="B42" s="562" t="str">
        <f t="shared" si="0"/>
        <v/>
      </c>
      <c r="C42" s="547" t="str">
        <f t="shared" si="1"/>
        <v/>
      </c>
      <c r="D42" s="562" t="str">
        <f t="shared" si="2"/>
        <v/>
      </c>
      <c r="E42" s="671"/>
      <c r="F42" s="673" t="str">
        <f t="shared" si="3"/>
        <v>/dia</v>
      </c>
    </row>
    <row r="43" spans="1:6" x14ac:dyDescent="0.2">
      <c r="A43" s="668">
        <v>34</v>
      </c>
      <c r="B43" s="562" t="str">
        <f t="shared" si="0"/>
        <v/>
      </c>
      <c r="C43" s="547" t="str">
        <f t="shared" si="1"/>
        <v/>
      </c>
      <c r="D43" s="562" t="str">
        <f t="shared" si="2"/>
        <v/>
      </c>
      <c r="E43" s="671"/>
      <c r="F43" s="673" t="str">
        <f t="shared" si="3"/>
        <v>/dia</v>
      </c>
    </row>
    <row r="44" spans="1:6" x14ac:dyDescent="0.2">
      <c r="A44" s="668">
        <v>35</v>
      </c>
      <c r="B44" s="562" t="str">
        <f t="shared" si="0"/>
        <v/>
      </c>
      <c r="C44" s="547" t="str">
        <f t="shared" si="1"/>
        <v/>
      </c>
      <c r="D44" s="562" t="str">
        <f t="shared" si="2"/>
        <v/>
      </c>
      <c r="E44" s="671"/>
      <c r="F44" s="673" t="str">
        <f t="shared" si="3"/>
        <v>/dia</v>
      </c>
    </row>
    <row r="45" spans="1:6" x14ac:dyDescent="0.2">
      <c r="A45" s="668">
        <v>36</v>
      </c>
      <c r="B45" s="562" t="str">
        <f t="shared" si="0"/>
        <v/>
      </c>
      <c r="C45" s="547" t="str">
        <f t="shared" si="1"/>
        <v/>
      </c>
      <c r="D45" s="562" t="str">
        <f t="shared" si="2"/>
        <v/>
      </c>
      <c r="E45" s="671"/>
      <c r="F45" s="673" t="str">
        <f t="shared" si="3"/>
        <v>/dia</v>
      </c>
    </row>
    <row r="46" spans="1:6" x14ac:dyDescent="0.2">
      <c r="A46" s="668">
        <v>37</v>
      </c>
      <c r="B46" s="562" t="str">
        <f t="shared" si="0"/>
        <v/>
      </c>
      <c r="C46" s="547" t="str">
        <f t="shared" si="1"/>
        <v/>
      </c>
      <c r="D46" s="562" t="str">
        <f t="shared" si="2"/>
        <v/>
      </c>
      <c r="E46" s="671"/>
      <c r="F46" s="673" t="str">
        <f t="shared" si="3"/>
        <v>/dia</v>
      </c>
    </row>
    <row r="47" spans="1:6" x14ac:dyDescent="0.2">
      <c r="A47" s="668">
        <v>38</v>
      </c>
      <c r="B47" s="562" t="str">
        <f t="shared" si="0"/>
        <v/>
      </c>
      <c r="C47" s="547" t="str">
        <f t="shared" si="1"/>
        <v/>
      </c>
      <c r="D47" s="562" t="str">
        <f t="shared" si="2"/>
        <v/>
      </c>
      <c r="E47" s="671"/>
      <c r="F47" s="673"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33" t="str">
        <f>"OBRA: " &amp; UPPER(Obra)</f>
        <v xml:space="preserve">OBRA: CONTRATACION DE 800 HS. TOPADORA   Y/O CARGADORA
PARA MEJORA DE OBRAS DE DEFENSAS DE MATERIAL SUELTO DE BAJADAS DE CRECIENTES, ENCAUZAMIENTOS
-DEPARTAMENTOS ALBARDON - ULLUM - ZONDA -
</v>
      </c>
      <c r="D1" s="833"/>
      <c r="E1" s="833"/>
      <c r="F1" s="833"/>
      <c r="G1" s="833"/>
      <c r="H1" s="833"/>
      <c r="I1" s="833"/>
      <c r="J1" s="833"/>
      <c r="K1" s="833"/>
      <c r="L1" s="833"/>
    </row>
    <row r="2" spans="3:12" ht="23.25" x14ac:dyDescent="0.35">
      <c r="C2" s="833" t="s">
        <v>955</v>
      </c>
      <c r="D2" s="833"/>
      <c r="E2" s="833"/>
      <c r="F2" s="833"/>
      <c r="G2" s="833"/>
      <c r="H2" s="833"/>
      <c r="I2" s="833"/>
      <c r="J2" s="833"/>
      <c r="K2" s="833"/>
      <c r="L2" s="833"/>
    </row>
    <row r="3" spans="3:12" ht="23.25" x14ac:dyDescent="0.35">
      <c r="C3" s="833" t="s">
        <v>956</v>
      </c>
      <c r="D3" s="833"/>
      <c r="E3" s="833"/>
      <c r="F3" s="833"/>
      <c r="G3" s="833"/>
      <c r="H3" s="833"/>
      <c r="I3" s="833"/>
      <c r="J3" s="833"/>
      <c r="K3" s="833"/>
      <c r="L3" s="83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4" t="str">
        <f>"OBRA: " &amp; UPPER(Obra)</f>
        <v xml:space="preserve">OBRA: CONTRATACION DE 800 HS. TOPADORA   Y/O CARGADORA
PARA MEJORA DE OBRAS DE DEFENSAS DE MATERIAL SUELTO DE BAJADAS DE CRECIENTES, ENCAUZAMIENTOS
-DEPARTAMENTOS ALBARDON - ULLUM - ZONDA -
</v>
      </c>
      <c r="D1" s="834"/>
      <c r="E1" s="834"/>
      <c r="F1" s="834"/>
      <c r="G1" s="834"/>
      <c r="H1" s="834"/>
      <c r="I1" s="834"/>
      <c r="J1" s="834"/>
    </row>
    <row r="2" spans="3:10" ht="23.25" x14ac:dyDescent="0.35">
      <c r="C2" s="833" t="s">
        <v>957</v>
      </c>
      <c r="D2" s="833"/>
      <c r="E2" s="833"/>
      <c r="F2" s="833"/>
      <c r="G2" s="833"/>
      <c r="H2" s="833"/>
      <c r="I2" s="833"/>
      <c r="J2" s="833"/>
    </row>
    <row r="3" spans="3:10" ht="23.25" x14ac:dyDescent="0.35">
      <c r="C3" s="833" t="s">
        <v>958</v>
      </c>
      <c r="D3" s="833"/>
      <c r="E3" s="833"/>
      <c r="F3" s="833"/>
      <c r="G3" s="833"/>
      <c r="H3" s="833"/>
      <c r="I3" s="833"/>
      <c r="J3" s="83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 xml:space="preserve">CONTRATACION DE 800 HS. TOPADORA   Y/O CARGADORA
PARA MEJORA DE OBRAS DE DEFENSAS DE MATERIAL SUELTO DE BAJADAS DE CRECIENTES, ENCAUZAMIENTOS
-DEPARTAMENTOS ALBARDON - ULLUM - ZONDA -
</v>
      </c>
    </row>
    <row r="3" spans="1:6" s="6" customFormat="1" ht="20.100000000000001" customHeight="1" x14ac:dyDescent="0.2">
      <c r="A3" s="13" t="s">
        <v>13</v>
      </c>
      <c r="B3" s="13" t="str">
        <f>Ubicación</f>
        <v>DEPARTAMENTO ALBARDON, ULLUM Y ZONDA</v>
      </c>
    </row>
    <row r="4" spans="1:6" s="6" customFormat="1" ht="20.100000000000001" customHeight="1" x14ac:dyDescent="0.2">
      <c r="A4" s="13" t="s">
        <v>12</v>
      </c>
      <c r="B4" s="14" t="str">
        <f>Licitación_N°</f>
        <v>02/2021</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39" t="s">
        <v>34</v>
      </c>
      <c r="B7" s="840"/>
      <c r="C7" s="840"/>
      <c r="D7" s="840"/>
      <c r="E7" s="841"/>
    </row>
    <row r="8" spans="1:6" ht="20.100000000000001" customHeight="1" x14ac:dyDescent="0.2">
      <c r="A8" s="842" t="s">
        <v>708</v>
      </c>
      <c r="B8" s="843"/>
      <c r="C8" s="844"/>
      <c r="D8" s="844"/>
      <c r="E8" s="845"/>
    </row>
    <row r="10" spans="1:6" ht="20.100000000000001" customHeight="1" x14ac:dyDescent="0.2">
      <c r="A10" s="837"/>
      <c r="B10" s="838"/>
      <c r="C10" s="56" t="s">
        <v>38</v>
      </c>
      <c r="D10" s="57" t="s">
        <v>35</v>
      </c>
      <c r="E10" s="57" t="s">
        <v>36</v>
      </c>
    </row>
    <row r="11" spans="1:6" ht="20.100000000000001" customHeight="1" x14ac:dyDescent="0.2">
      <c r="A11" s="835" t="s">
        <v>945</v>
      </c>
      <c r="B11" s="836"/>
      <c r="C11" s="79">
        <f>ROUND(SUBTOTAL(9,C12:C34),2)</f>
        <v>0</v>
      </c>
      <c r="D11" s="16">
        <f>SUBTOTAL(9,D12:D34)</f>
        <v>0</v>
      </c>
      <c r="E11" s="12"/>
    </row>
    <row r="12" spans="1:6" ht="20.100000000000001" customHeight="1" x14ac:dyDescent="0.2">
      <c r="A12" s="100"/>
      <c r="B12" s="101"/>
      <c r="C12" s="102"/>
      <c r="D12" s="15">
        <f t="shared" ref="D12:D34" si="0">IFERROR(C12/GG_Obra,0)</f>
        <v>0</v>
      </c>
      <c r="E12" s="15">
        <f t="shared" ref="E12:E34" si="1">IFERROR(C12/GG_Pesos,0)</f>
        <v>0</v>
      </c>
    </row>
    <row r="13" spans="1:6" ht="20.100000000000001" customHeight="1" x14ac:dyDescent="0.2">
      <c r="A13" s="100"/>
      <c r="B13" s="101"/>
      <c r="C13" s="102"/>
      <c r="D13" s="15">
        <f t="shared" si="0"/>
        <v>0</v>
      </c>
      <c r="E13" s="15">
        <f t="shared" si="1"/>
        <v>0</v>
      </c>
    </row>
    <row r="14" spans="1:6" ht="20.100000000000001" customHeight="1" x14ac:dyDescent="0.2">
      <c r="A14" s="100"/>
      <c r="B14" s="101"/>
      <c r="C14" s="102"/>
      <c r="D14" s="15">
        <f t="shared" si="0"/>
        <v>0</v>
      </c>
      <c r="E14" s="15">
        <f t="shared" si="1"/>
        <v>0</v>
      </c>
    </row>
    <row r="15" spans="1:6" ht="20.100000000000001" customHeight="1" x14ac:dyDescent="0.2">
      <c r="A15" s="100"/>
      <c r="B15" s="101"/>
      <c r="C15" s="102"/>
      <c r="D15" s="15">
        <f t="shared" si="0"/>
        <v>0</v>
      </c>
      <c r="E15" s="15">
        <f t="shared" si="1"/>
        <v>0</v>
      </c>
    </row>
    <row r="16" spans="1:6" ht="20.100000000000001" customHeight="1" x14ac:dyDescent="0.2">
      <c r="A16" s="100"/>
      <c r="B16" s="101"/>
      <c r="C16" s="102"/>
      <c r="D16" s="15">
        <f t="shared" si="0"/>
        <v>0</v>
      </c>
      <c r="E16" s="15">
        <f t="shared" si="1"/>
        <v>0</v>
      </c>
    </row>
    <row r="17" spans="1:5" ht="20.100000000000001" customHeight="1" x14ac:dyDescent="0.2">
      <c r="A17" s="837"/>
      <c r="B17" s="838"/>
      <c r="C17" s="80"/>
      <c r="D17" s="15">
        <f t="shared" si="0"/>
        <v>0</v>
      </c>
      <c r="E17" s="15">
        <f t="shared" si="1"/>
        <v>0</v>
      </c>
    </row>
    <row r="18" spans="1:5" ht="20.100000000000001" customHeight="1" x14ac:dyDescent="0.2">
      <c r="A18" s="837"/>
      <c r="B18" s="838"/>
      <c r="C18" s="80"/>
      <c r="D18" s="15">
        <f t="shared" si="0"/>
        <v>0</v>
      </c>
      <c r="E18" s="15">
        <f t="shared" si="1"/>
        <v>0</v>
      </c>
    </row>
    <row r="19" spans="1:5" ht="20.100000000000001" customHeight="1" x14ac:dyDescent="0.2">
      <c r="A19" s="837"/>
      <c r="B19" s="838"/>
      <c r="C19" s="80"/>
      <c r="D19" s="15">
        <f t="shared" si="0"/>
        <v>0</v>
      </c>
      <c r="E19" s="15">
        <f t="shared" si="1"/>
        <v>0</v>
      </c>
    </row>
    <row r="20" spans="1:5" ht="20.100000000000001" customHeight="1" x14ac:dyDescent="0.2">
      <c r="A20" s="837"/>
      <c r="B20" s="838"/>
      <c r="C20" s="80"/>
      <c r="D20" s="15">
        <f t="shared" si="0"/>
        <v>0</v>
      </c>
      <c r="E20" s="15">
        <f t="shared" si="1"/>
        <v>0</v>
      </c>
    </row>
    <row r="21" spans="1:5" ht="20.100000000000001" customHeight="1" x14ac:dyDescent="0.2">
      <c r="A21" s="837"/>
      <c r="B21" s="838"/>
      <c r="C21" s="80"/>
      <c r="D21" s="15">
        <f t="shared" si="0"/>
        <v>0</v>
      </c>
      <c r="E21" s="15">
        <f t="shared" si="1"/>
        <v>0</v>
      </c>
    </row>
    <row r="22" spans="1:5" ht="20.100000000000001" customHeight="1" x14ac:dyDescent="0.2">
      <c r="A22" s="837"/>
      <c r="B22" s="838"/>
      <c r="C22" s="80"/>
      <c r="D22" s="15">
        <f t="shared" si="0"/>
        <v>0</v>
      </c>
      <c r="E22" s="15">
        <f t="shared" si="1"/>
        <v>0</v>
      </c>
    </row>
    <row r="23" spans="1:5" ht="20.100000000000001" customHeight="1" x14ac:dyDescent="0.2">
      <c r="A23" s="837"/>
      <c r="B23" s="838"/>
      <c r="C23" s="80"/>
      <c r="D23" s="15">
        <f t="shared" si="0"/>
        <v>0</v>
      </c>
      <c r="E23" s="15">
        <f t="shared" si="1"/>
        <v>0</v>
      </c>
    </row>
    <row r="24" spans="1:5" ht="20.100000000000001" customHeight="1" x14ac:dyDescent="0.2">
      <c r="A24" s="837"/>
      <c r="B24" s="838"/>
      <c r="C24" s="80"/>
      <c r="D24" s="15">
        <f t="shared" si="0"/>
        <v>0</v>
      </c>
      <c r="E24" s="15">
        <f t="shared" si="1"/>
        <v>0</v>
      </c>
    </row>
    <row r="25" spans="1:5" ht="20.100000000000001" customHeight="1" x14ac:dyDescent="0.2">
      <c r="A25" s="837"/>
      <c r="B25" s="838"/>
      <c r="C25" s="80"/>
      <c r="D25" s="15">
        <f t="shared" ref="D25:D28" si="2">IFERROR(C25/GG_Obra,0)</f>
        <v>0</v>
      </c>
      <c r="E25" s="15">
        <f t="shared" ref="E25:E28" si="3">IFERROR(C25/GG_Pesos,0)</f>
        <v>0</v>
      </c>
    </row>
    <row r="26" spans="1:5" ht="20.100000000000001" customHeight="1" x14ac:dyDescent="0.2">
      <c r="A26" s="837"/>
      <c r="B26" s="838"/>
      <c r="C26" s="80"/>
      <c r="D26" s="15">
        <f t="shared" si="2"/>
        <v>0</v>
      </c>
      <c r="E26" s="15">
        <f t="shared" si="3"/>
        <v>0</v>
      </c>
    </row>
    <row r="27" spans="1:5" ht="20.100000000000001" customHeight="1" x14ac:dyDescent="0.2">
      <c r="A27" s="837"/>
      <c r="B27" s="838"/>
      <c r="C27" s="80"/>
      <c r="D27" s="15">
        <f t="shared" si="2"/>
        <v>0</v>
      </c>
      <c r="E27" s="15">
        <f t="shared" si="3"/>
        <v>0</v>
      </c>
    </row>
    <row r="28" spans="1:5" ht="20.100000000000001" customHeight="1" x14ac:dyDescent="0.2">
      <c r="A28" s="837"/>
      <c r="B28" s="838"/>
      <c r="C28" s="80"/>
      <c r="D28" s="15">
        <f t="shared" si="2"/>
        <v>0</v>
      </c>
      <c r="E28" s="15">
        <f t="shared" si="3"/>
        <v>0</v>
      </c>
    </row>
    <row r="29" spans="1:5" ht="20.100000000000001" customHeight="1" x14ac:dyDescent="0.2">
      <c r="A29" s="837"/>
      <c r="B29" s="838"/>
      <c r="C29" s="80"/>
      <c r="D29" s="15">
        <f t="shared" si="0"/>
        <v>0</v>
      </c>
      <c r="E29" s="15">
        <f t="shared" si="1"/>
        <v>0</v>
      </c>
    </row>
    <row r="30" spans="1:5" ht="20.100000000000001" customHeight="1" x14ac:dyDescent="0.2">
      <c r="A30" s="837"/>
      <c r="B30" s="838"/>
      <c r="C30" s="80"/>
      <c r="D30" s="15">
        <f t="shared" si="0"/>
        <v>0</v>
      </c>
      <c r="E30" s="15">
        <f t="shared" si="1"/>
        <v>0</v>
      </c>
    </row>
    <row r="31" spans="1:5" ht="20.100000000000001" customHeight="1" x14ac:dyDescent="0.2">
      <c r="A31" s="837"/>
      <c r="B31" s="838"/>
      <c r="C31" s="80"/>
      <c r="D31" s="15">
        <f t="shared" si="0"/>
        <v>0</v>
      </c>
      <c r="E31" s="15">
        <f t="shared" si="1"/>
        <v>0</v>
      </c>
    </row>
    <row r="32" spans="1:5" ht="20.100000000000001" customHeight="1" x14ac:dyDescent="0.2">
      <c r="A32" s="837"/>
      <c r="B32" s="838"/>
      <c r="C32" s="80"/>
      <c r="D32" s="15">
        <f t="shared" si="0"/>
        <v>0</v>
      </c>
      <c r="E32" s="15">
        <f t="shared" si="1"/>
        <v>0</v>
      </c>
    </row>
    <row r="33" spans="1:5" ht="20.100000000000001" customHeight="1" x14ac:dyDescent="0.2">
      <c r="A33" s="837"/>
      <c r="B33" s="838"/>
      <c r="C33" s="80"/>
      <c r="D33" s="15">
        <f t="shared" si="0"/>
        <v>0</v>
      </c>
      <c r="E33" s="15">
        <f t="shared" si="1"/>
        <v>0</v>
      </c>
    </row>
    <row r="34" spans="1:5" ht="20.100000000000001" customHeight="1" x14ac:dyDescent="0.2">
      <c r="A34" s="837"/>
      <c r="B34" s="838"/>
      <c r="C34" s="80"/>
      <c r="D34" s="15">
        <f t="shared" si="0"/>
        <v>0</v>
      </c>
      <c r="E34" s="15">
        <f t="shared" si="1"/>
        <v>0</v>
      </c>
    </row>
    <row r="35" spans="1:5" ht="20.100000000000001" customHeight="1" x14ac:dyDescent="0.2">
      <c r="A35" s="58"/>
      <c r="B35" s="5"/>
      <c r="C35" s="5"/>
      <c r="D35" s="5"/>
      <c r="E35" s="59"/>
    </row>
    <row r="36" spans="1:5" ht="20.100000000000001" customHeight="1" x14ac:dyDescent="0.2">
      <c r="A36" s="835" t="s">
        <v>37</v>
      </c>
      <c r="B36" s="836"/>
      <c r="C36" s="79">
        <f>ROUND(SUBTOTAL(9,C37:C73),2)</f>
        <v>0</v>
      </c>
      <c r="D36" s="53">
        <f>SUBTOTAL(9,D37:D80)</f>
        <v>0</v>
      </c>
      <c r="E36" s="59"/>
    </row>
    <row r="37" spans="1:5" ht="20.100000000000001" customHeight="1" x14ac:dyDescent="0.2">
      <c r="A37" s="96"/>
      <c r="B37" s="97"/>
      <c r="C37" s="98"/>
      <c r="D37" s="15">
        <f t="shared" ref="D37:D73" si="4">IFERROR(C37/GG_Empresa,0)</f>
        <v>0</v>
      </c>
      <c r="E37" s="15">
        <f t="shared" ref="E37:E73" si="5">IFERROR(C37/GG_Pesos,0)</f>
        <v>0</v>
      </c>
    </row>
    <row r="38" spans="1:5" ht="20.100000000000001" customHeight="1" x14ac:dyDescent="0.2">
      <c r="A38" s="96"/>
      <c r="B38" s="97"/>
      <c r="C38" s="98"/>
      <c r="D38" s="15">
        <f t="shared" si="4"/>
        <v>0</v>
      </c>
      <c r="E38" s="15">
        <f t="shared" si="5"/>
        <v>0</v>
      </c>
    </row>
    <row r="39" spans="1:5" ht="20.100000000000001" customHeight="1" x14ac:dyDescent="0.2">
      <c r="A39" s="96"/>
      <c r="B39" s="97"/>
      <c r="C39" s="98"/>
      <c r="D39" s="15">
        <f t="shared" si="4"/>
        <v>0</v>
      </c>
      <c r="E39" s="15">
        <f t="shared" si="5"/>
        <v>0</v>
      </c>
    </row>
    <row r="40" spans="1:5" ht="20.100000000000001" customHeight="1" x14ac:dyDescent="0.2">
      <c r="A40" s="96"/>
      <c r="B40" s="97"/>
      <c r="C40" s="98"/>
      <c r="D40" s="15">
        <f t="shared" si="4"/>
        <v>0</v>
      </c>
      <c r="E40" s="15">
        <f t="shared" si="5"/>
        <v>0</v>
      </c>
    </row>
    <row r="41" spans="1:5" ht="20.100000000000001" customHeight="1" x14ac:dyDescent="0.2">
      <c r="A41" s="96"/>
      <c r="B41" s="97"/>
      <c r="C41" s="98"/>
      <c r="D41" s="15">
        <f t="shared" ref="D41:D60" si="6">IFERROR(C41/GG_Empresa,0)</f>
        <v>0</v>
      </c>
      <c r="E41" s="15">
        <f t="shared" ref="E41:E60" si="7">IFERROR(C41/GG_Pesos,0)</f>
        <v>0</v>
      </c>
    </row>
    <row r="42" spans="1:5" ht="20.100000000000001" customHeight="1" x14ac:dyDescent="0.2">
      <c r="A42" s="96"/>
      <c r="B42" s="97"/>
      <c r="C42" s="98"/>
      <c r="D42" s="15">
        <f t="shared" si="6"/>
        <v>0</v>
      </c>
      <c r="E42" s="15">
        <f t="shared" si="7"/>
        <v>0</v>
      </c>
    </row>
    <row r="43" spans="1:5" ht="20.100000000000001" customHeight="1" x14ac:dyDescent="0.2">
      <c r="A43" s="96"/>
      <c r="B43" s="97"/>
      <c r="C43" s="98"/>
      <c r="D43" s="15">
        <f t="shared" si="6"/>
        <v>0</v>
      </c>
      <c r="E43" s="15">
        <f t="shared" si="7"/>
        <v>0</v>
      </c>
    </row>
    <row r="44" spans="1:5" ht="20.100000000000001" customHeight="1" x14ac:dyDescent="0.2">
      <c r="A44" s="96"/>
      <c r="B44" s="97"/>
      <c r="C44" s="98"/>
      <c r="D44" s="15">
        <f t="shared" si="6"/>
        <v>0</v>
      </c>
      <c r="E44" s="15">
        <f t="shared" si="7"/>
        <v>0</v>
      </c>
    </row>
    <row r="45" spans="1:5" ht="20.100000000000001" customHeight="1" x14ac:dyDescent="0.2">
      <c r="A45" s="96"/>
      <c r="B45" s="97"/>
      <c r="C45" s="98"/>
      <c r="D45" s="15">
        <f t="shared" si="6"/>
        <v>0</v>
      </c>
      <c r="E45" s="15">
        <f t="shared" si="7"/>
        <v>0</v>
      </c>
    </row>
    <row r="46" spans="1:5" ht="20.100000000000001" customHeight="1" x14ac:dyDescent="0.2">
      <c r="A46" s="96"/>
      <c r="B46" s="97"/>
      <c r="C46" s="98"/>
      <c r="D46" s="15">
        <f t="shared" si="6"/>
        <v>0</v>
      </c>
      <c r="E46" s="15">
        <f t="shared" si="7"/>
        <v>0</v>
      </c>
    </row>
    <row r="47" spans="1:5" ht="20.100000000000001" customHeight="1" x14ac:dyDescent="0.2">
      <c r="A47" s="96"/>
      <c r="B47" s="97"/>
      <c r="C47" s="98"/>
      <c r="D47" s="15">
        <f t="shared" si="6"/>
        <v>0</v>
      </c>
      <c r="E47" s="15">
        <f t="shared" si="7"/>
        <v>0</v>
      </c>
    </row>
    <row r="48" spans="1:5" ht="20.100000000000001" customHeight="1" x14ac:dyDescent="0.2">
      <c r="A48" s="96"/>
      <c r="B48" s="97"/>
      <c r="C48" s="98"/>
      <c r="D48" s="15">
        <f t="shared" si="6"/>
        <v>0</v>
      </c>
      <c r="E48" s="15">
        <f t="shared" si="7"/>
        <v>0</v>
      </c>
    </row>
    <row r="49" spans="1:5" ht="20.100000000000001" customHeight="1" x14ac:dyDescent="0.2">
      <c r="A49" s="96"/>
      <c r="B49" s="97"/>
      <c r="C49" s="98"/>
      <c r="D49" s="15">
        <f t="shared" si="6"/>
        <v>0</v>
      </c>
      <c r="E49" s="15">
        <f t="shared" si="7"/>
        <v>0</v>
      </c>
    </row>
    <row r="50" spans="1:5" ht="20.100000000000001" customHeight="1" x14ac:dyDescent="0.2">
      <c r="A50" s="96"/>
      <c r="B50" s="97"/>
      <c r="C50" s="98"/>
      <c r="D50" s="15">
        <f t="shared" si="6"/>
        <v>0</v>
      </c>
      <c r="E50" s="15">
        <f t="shared" si="7"/>
        <v>0</v>
      </c>
    </row>
    <row r="51" spans="1:5" ht="20.100000000000001" customHeight="1" x14ac:dyDescent="0.2">
      <c r="A51" s="96"/>
      <c r="B51" s="97"/>
      <c r="C51" s="98"/>
      <c r="D51" s="15">
        <f t="shared" si="6"/>
        <v>0</v>
      </c>
      <c r="E51" s="15">
        <f t="shared" si="7"/>
        <v>0</v>
      </c>
    </row>
    <row r="52" spans="1:5" ht="20.100000000000001" customHeight="1" x14ac:dyDescent="0.2">
      <c r="A52" s="96"/>
      <c r="B52" s="97"/>
      <c r="C52" s="98"/>
      <c r="D52" s="15">
        <f t="shared" si="6"/>
        <v>0</v>
      </c>
      <c r="E52" s="15">
        <f t="shared" si="7"/>
        <v>0</v>
      </c>
    </row>
    <row r="53" spans="1:5" ht="20.100000000000001" customHeight="1" x14ac:dyDescent="0.2">
      <c r="A53" s="96"/>
      <c r="B53" s="97"/>
      <c r="C53" s="98"/>
      <c r="D53" s="15">
        <f t="shared" si="6"/>
        <v>0</v>
      </c>
      <c r="E53" s="15">
        <f t="shared" si="7"/>
        <v>0</v>
      </c>
    </row>
    <row r="54" spans="1:5" ht="20.100000000000001" customHeight="1" x14ac:dyDescent="0.2">
      <c r="A54" s="96"/>
      <c r="B54" s="97"/>
      <c r="C54" s="98"/>
      <c r="D54" s="15">
        <f t="shared" si="6"/>
        <v>0</v>
      </c>
      <c r="E54" s="15">
        <f t="shared" si="7"/>
        <v>0</v>
      </c>
    </row>
    <row r="55" spans="1:5" ht="20.100000000000001" customHeight="1" x14ac:dyDescent="0.2">
      <c r="A55" s="96"/>
      <c r="B55" s="97"/>
      <c r="C55" s="98"/>
      <c r="D55" s="15">
        <f t="shared" si="6"/>
        <v>0</v>
      </c>
      <c r="E55" s="15">
        <f t="shared" si="7"/>
        <v>0</v>
      </c>
    </row>
    <row r="56" spans="1:5" ht="20.100000000000001" customHeight="1" x14ac:dyDescent="0.2">
      <c r="A56" s="96"/>
      <c r="B56" s="97"/>
      <c r="C56" s="98"/>
      <c r="D56" s="15">
        <f t="shared" si="6"/>
        <v>0</v>
      </c>
      <c r="E56" s="15">
        <f t="shared" si="7"/>
        <v>0</v>
      </c>
    </row>
    <row r="57" spans="1:5" ht="20.100000000000001" customHeight="1" x14ac:dyDescent="0.2">
      <c r="A57" s="96"/>
      <c r="B57" s="97"/>
      <c r="C57" s="98"/>
      <c r="D57" s="15">
        <f t="shared" si="6"/>
        <v>0</v>
      </c>
      <c r="E57" s="15">
        <f t="shared" si="7"/>
        <v>0</v>
      </c>
    </row>
    <row r="58" spans="1:5" ht="20.100000000000001" customHeight="1" x14ac:dyDescent="0.2">
      <c r="A58" s="96"/>
      <c r="B58" s="99"/>
      <c r="C58" s="98"/>
      <c r="D58" s="15">
        <f t="shared" si="6"/>
        <v>0</v>
      </c>
      <c r="E58" s="15">
        <f t="shared" si="7"/>
        <v>0</v>
      </c>
    </row>
    <row r="59" spans="1:5" ht="20.100000000000001" customHeight="1" x14ac:dyDescent="0.2">
      <c r="A59" s="96"/>
      <c r="B59" s="99"/>
      <c r="C59" s="98"/>
      <c r="D59" s="15">
        <f t="shared" si="6"/>
        <v>0</v>
      </c>
      <c r="E59" s="15">
        <f t="shared" si="7"/>
        <v>0</v>
      </c>
    </row>
    <row r="60" spans="1:5" ht="20.100000000000001" customHeight="1" x14ac:dyDescent="0.2">
      <c r="A60" s="96"/>
      <c r="B60" s="99"/>
      <c r="C60" s="98"/>
      <c r="D60" s="15">
        <f t="shared" si="6"/>
        <v>0</v>
      </c>
      <c r="E60" s="15">
        <f t="shared" si="7"/>
        <v>0</v>
      </c>
    </row>
    <row r="61" spans="1:5" ht="20.100000000000001" customHeight="1" x14ac:dyDescent="0.2">
      <c r="A61" s="96"/>
      <c r="B61" s="99"/>
      <c r="C61" s="98"/>
      <c r="D61" s="15">
        <f t="shared" si="4"/>
        <v>0</v>
      </c>
      <c r="E61" s="15">
        <f t="shared" si="5"/>
        <v>0</v>
      </c>
    </row>
    <row r="62" spans="1:5" ht="20.100000000000001" customHeight="1" x14ac:dyDescent="0.2">
      <c r="A62" s="96"/>
      <c r="B62" s="99"/>
      <c r="C62" s="98"/>
      <c r="D62" s="15">
        <f t="shared" si="4"/>
        <v>0</v>
      </c>
      <c r="E62" s="15">
        <f t="shared" si="5"/>
        <v>0</v>
      </c>
    </row>
    <row r="63" spans="1:5" ht="20.100000000000001" customHeight="1" x14ac:dyDescent="0.2">
      <c r="A63" s="96"/>
      <c r="B63" s="99"/>
      <c r="C63" s="98"/>
      <c r="D63" s="15">
        <f t="shared" si="4"/>
        <v>0</v>
      </c>
      <c r="E63" s="15">
        <f t="shared" si="5"/>
        <v>0</v>
      </c>
    </row>
    <row r="64" spans="1:5" ht="20.100000000000001" customHeight="1" x14ac:dyDescent="0.2">
      <c r="A64" s="96"/>
      <c r="B64" s="99"/>
      <c r="C64" s="98"/>
      <c r="D64" s="15">
        <f t="shared" si="4"/>
        <v>0</v>
      </c>
      <c r="E64" s="15">
        <f t="shared" si="5"/>
        <v>0</v>
      </c>
    </row>
    <row r="65" spans="1:5" ht="20.100000000000001" customHeight="1" x14ac:dyDescent="0.2">
      <c r="A65" s="96"/>
      <c r="B65" s="99"/>
      <c r="C65" s="98"/>
      <c r="D65" s="15">
        <f t="shared" si="4"/>
        <v>0</v>
      </c>
      <c r="E65" s="15">
        <f t="shared" si="5"/>
        <v>0</v>
      </c>
    </row>
    <row r="66" spans="1:5" ht="20.100000000000001" customHeight="1" x14ac:dyDescent="0.2">
      <c r="A66" s="96"/>
      <c r="B66" s="99"/>
      <c r="C66" s="98"/>
      <c r="D66" s="15">
        <f t="shared" si="4"/>
        <v>0</v>
      </c>
      <c r="E66" s="15">
        <f t="shared" si="5"/>
        <v>0</v>
      </c>
    </row>
    <row r="67" spans="1:5" ht="20.100000000000001" customHeight="1" x14ac:dyDescent="0.2">
      <c r="A67" s="96"/>
      <c r="B67" s="99"/>
      <c r="C67" s="98"/>
      <c r="D67" s="15">
        <f t="shared" si="4"/>
        <v>0</v>
      </c>
      <c r="E67" s="15">
        <f t="shared" si="5"/>
        <v>0</v>
      </c>
    </row>
    <row r="68" spans="1:5" ht="20.100000000000001" customHeight="1" x14ac:dyDescent="0.2">
      <c r="A68" s="96"/>
      <c r="B68" s="99"/>
      <c r="C68" s="98"/>
      <c r="D68" s="15">
        <f t="shared" si="4"/>
        <v>0</v>
      </c>
      <c r="E68" s="15">
        <f t="shared" si="5"/>
        <v>0</v>
      </c>
    </row>
    <row r="69" spans="1:5" ht="20.100000000000001" customHeight="1" x14ac:dyDescent="0.2">
      <c r="A69" s="96"/>
      <c r="B69" s="99"/>
      <c r="C69" s="98"/>
      <c r="D69" s="15">
        <f t="shared" si="4"/>
        <v>0</v>
      </c>
      <c r="E69" s="15">
        <f t="shared" si="5"/>
        <v>0</v>
      </c>
    </row>
    <row r="70" spans="1:5" ht="20.100000000000001" customHeight="1" x14ac:dyDescent="0.2">
      <c r="A70" s="96"/>
      <c r="B70" s="99"/>
      <c r="C70" s="98"/>
      <c r="D70" s="15">
        <f t="shared" ref="D70:D72" si="8">IFERROR(C70/GG_Empresa,0)</f>
        <v>0</v>
      </c>
      <c r="E70" s="15">
        <f t="shared" ref="E70:E72" si="9">IFERROR(C70/GG_Pesos,0)</f>
        <v>0</v>
      </c>
    </row>
    <row r="71" spans="1:5" ht="20.100000000000001" customHeight="1" x14ac:dyDescent="0.2">
      <c r="A71" s="96"/>
      <c r="B71" s="99"/>
      <c r="C71" s="98"/>
      <c r="D71" s="15">
        <f t="shared" si="8"/>
        <v>0</v>
      </c>
      <c r="E71" s="15">
        <f t="shared" si="9"/>
        <v>0</v>
      </c>
    </row>
    <row r="72" spans="1:5" ht="20.100000000000001" customHeight="1" x14ac:dyDescent="0.2">
      <c r="A72" s="96"/>
      <c r="B72" s="99"/>
      <c r="C72" s="98"/>
      <c r="D72" s="15">
        <f t="shared" si="8"/>
        <v>0</v>
      </c>
      <c r="E72" s="15">
        <f t="shared" si="9"/>
        <v>0</v>
      </c>
    </row>
    <row r="73" spans="1:5" ht="20.100000000000001" customHeight="1" x14ac:dyDescent="0.2">
      <c r="A73" s="96"/>
      <c r="B73" s="99"/>
      <c r="C73" s="98"/>
      <c r="D73" s="15">
        <f t="shared" si="4"/>
        <v>0</v>
      </c>
      <c r="E73" s="15">
        <f t="shared" si="5"/>
        <v>0</v>
      </c>
    </row>
    <row r="74" spans="1:5" ht="20.100000000000001" customHeight="1" x14ac:dyDescent="0.2">
      <c r="A74" s="58"/>
      <c r="B74" s="5"/>
      <c r="C74" s="5"/>
      <c r="D74" s="5"/>
      <c r="E74" s="59"/>
    </row>
    <row r="75" spans="1:5" ht="20.100000000000001" customHeight="1" x14ac:dyDescent="0.2">
      <c r="A75" s="835" t="s">
        <v>709</v>
      </c>
      <c r="B75" s="836"/>
      <c r="C75" s="79">
        <f>ROUND(SUBTOTAL(9,C11:C73),2)</f>
        <v>0</v>
      </c>
      <c r="D75" s="60"/>
      <c r="E75" s="61">
        <f>SUBTOTAL(9,E11:E73)</f>
        <v>0</v>
      </c>
    </row>
    <row r="76" spans="1:5" ht="20.100000000000001" customHeight="1" x14ac:dyDescent="0.2">
      <c r="E76" s="54"/>
    </row>
    <row r="77" spans="1:5" ht="20.100000000000001" customHeight="1" x14ac:dyDescent="0.2">
      <c r="D77" s="55"/>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1466</v>
      </c>
      <c r="C4" s="71">
        <v>1</v>
      </c>
      <c r="D4" s="68" t="s">
        <v>905</v>
      </c>
      <c r="E4" s="68" t="str">
        <f t="shared" ref="E4:E68" si="0">IFERROR(VLOOKUP(D4,T_Indices,5,FALSE),"")</f>
        <v>Oficial Especializado</v>
      </c>
    </row>
    <row r="5" spans="1:5" x14ac:dyDescent="0.2">
      <c r="A5" s="68" t="s">
        <v>903</v>
      </c>
      <c r="B5" s="66" t="s">
        <v>1466</v>
      </c>
      <c r="C5" s="71"/>
      <c r="D5" s="68" t="s">
        <v>904</v>
      </c>
      <c r="E5" s="68" t="str">
        <f t="shared" si="0"/>
        <v xml:space="preserve">Oficial </v>
      </c>
    </row>
    <row r="6" spans="1:5" x14ac:dyDescent="0.2">
      <c r="A6" s="68" t="s">
        <v>1012</v>
      </c>
      <c r="B6" s="66" t="s">
        <v>1466</v>
      </c>
      <c r="C6" s="71"/>
      <c r="D6" s="68" t="s">
        <v>902</v>
      </c>
      <c r="E6" s="68" t="str">
        <f t="shared" si="0"/>
        <v>Ayudante</v>
      </c>
    </row>
    <row r="7" spans="1:5" x14ac:dyDescent="0.2">
      <c r="A7" s="68" t="s">
        <v>717</v>
      </c>
      <c r="B7" s="66" t="s">
        <v>1466</v>
      </c>
      <c r="C7" s="71"/>
      <c r="D7" s="68" t="s">
        <v>902</v>
      </c>
      <c r="E7" s="68" t="str">
        <f t="shared" si="0"/>
        <v>Ayudante</v>
      </c>
    </row>
    <row r="8" spans="1:5" x14ac:dyDescent="0.2">
      <c r="A8" s="68" t="s">
        <v>328</v>
      </c>
      <c r="B8" s="66" t="s">
        <v>1466</v>
      </c>
      <c r="C8" s="71"/>
      <c r="D8" s="68"/>
      <c r="E8" s="68" t="str">
        <f t="shared" si="0"/>
        <v/>
      </c>
    </row>
    <row r="9" spans="1:5" x14ac:dyDescent="0.2">
      <c r="A9" s="68"/>
      <c r="B9" s="66"/>
      <c r="C9" s="71"/>
      <c r="D9" s="68"/>
      <c r="E9" s="68" t="str">
        <f t="shared" si="0"/>
        <v/>
      </c>
    </row>
    <row r="10" spans="1:5" x14ac:dyDescent="0.2">
      <c r="A10" s="68"/>
      <c r="B10" s="66"/>
      <c r="C10" s="71"/>
      <c r="D10" s="68"/>
      <c r="E10" s="68" t="str">
        <f t="shared" si="0"/>
        <v/>
      </c>
    </row>
    <row r="11" spans="1:5" x14ac:dyDescent="0.2">
      <c r="A11" s="68"/>
      <c r="B11" s="66"/>
      <c r="C11" s="71"/>
      <c r="D11" s="68"/>
      <c r="E11" s="68" t="str">
        <f t="shared" si="0"/>
        <v/>
      </c>
    </row>
    <row r="12" spans="1:5" x14ac:dyDescent="0.2">
      <c r="A12" s="68"/>
      <c r="B12" s="66"/>
      <c r="C12" s="71"/>
      <c r="D12" s="68"/>
      <c r="E12" s="68" t="str">
        <f t="shared" si="0"/>
        <v/>
      </c>
    </row>
    <row r="13" spans="1:5" x14ac:dyDescent="0.2">
      <c r="A13" s="68"/>
      <c r="B13" s="66"/>
      <c r="C13" s="71"/>
      <c r="D13" s="68"/>
      <c r="E13" s="68" t="str">
        <f t="shared" si="0"/>
        <v/>
      </c>
    </row>
    <row r="14" spans="1:5" x14ac:dyDescent="0.2">
      <c r="A14" s="68" t="s">
        <v>1693</v>
      </c>
      <c r="B14" s="66" t="s">
        <v>1692</v>
      </c>
      <c r="C14" s="412">
        <f>Equipo_Amortización+Equipo_Interés</f>
        <v>9.6000000000000002E-4</v>
      </c>
      <c r="D14" s="68" t="s">
        <v>1615</v>
      </c>
      <c r="E14" s="68" t="str">
        <f t="shared" si="0"/>
        <v>Equipo - Amortización de equipo</v>
      </c>
    </row>
    <row r="15" spans="1:5" x14ac:dyDescent="0.2">
      <c r="A15" s="68" t="s">
        <v>1694</v>
      </c>
      <c r="B15" s="66" t="s">
        <v>1692</v>
      </c>
      <c r="C15" s="412">
        <f>Equipo_Amortización</f>
        <v>8.0000000000000004E-4</v>
      </c>
      <c r="D15" s="68" t="s">
        <v>1615</v>
      </c>
      <c r="E15" s="68" t="str">
        <f t="shared" si="0"/>
        <v>Equipo - Amortización de equipo</v>
      </c>
    </row>
    <row r="16" spans="1:5" x14ac:dyDescent="0.2">
      <c r="A16" s="68" t="s">
        <v>1695</v>
      </c>
      <c r="B16" s="66" t="s">
        <v>1692</v>
      </c>
      <c r="C16" s="412">
        <f>Equipo_Interés</f>
        <v>1.6000000000000001E-4</v>
      </c>
      <c r="D16" s="68" t="s">
        <v>1615</v>
      </c>
      <c r="E16" s="68" t="str">
        <f t="shared" si="0"/>
        <v>Equipo - Amortización de equipo</v>
      </c>
    </row>
    <row r="17" spans="1:5" x14ac:dyDescent="0.2">
      <c r="A17" s="68" t="s">
        <v>1696</v>
      </c>
      <c r="B17" s="66" t="s">
        <v>1692</v>
      </c>
      <c r="C17" s="412">
        <f>Equipo_Reparaciones_Repuestos</f>
        <v>1.6000000000000001E-4</v>
      </c>
      <c r="D17" s="68" t="s">
        <v>1621</v>
      </c>
      <c r="E17" s="68" t="str">
        <f t="shared" si="0"/>
        <v xml:space="preserve">Accesorios y repuestos para máquinas de uso especial                 </v>
      </c>
    </row>
    <row r="18" spans="1:5" x14ac:dyDescent="0.2">
      <c r="A18" s="68" t="s">
        <v>1697</v>
      </c>
      <c r="B18" s="66" t="s">
        <v>1692</v>
      </c>
      <c r="C18" s="71">
        <f>Equipo_Combustible+Equipo_Lubricantes</f>
        <v>54.72</v>
      </c>
      <c r="D18" s="68" t="s">
        <v>1616</v>
      </c>
      <c r="E18" s="68" t="str">
        <f t="shared" si="0"/>
        <v xml:space="preserve">Gas oil                                                                </v>
      </c>
    </row>
    <row r="19" spans="1:5" x14ac:dyDescent="0.2">
      <c r="A19" s="68" t="s">
        <v>1698</v>
      </c>
      <c r="B19" s="66" t="s">
        <v>1692</v>
      </c>
      <c r="C19" s="71">
        <f>Equipo_Combustible</f>
        <v>45.6</v>
      </c>
      <c r="D19" s="69" t="s">
        <v>1616</v>
      </c>
      <c r="E19" s="68" t="str">
        <f t="shared" si="0"/>
        <v xml:space="preserve">Gas oil                                                                </v>
      </c>
    </row>
    <row r="20" spans="1:5" x14ac:dyDescent="0.2">
      <c r="A20" s="68" t="s">
        <v>1699</v>
      </c>
      <c r="B20" s="66" t="s">
        <v>1692</v>
      </c>
      <c r="C20" s="71">
        <f>Equipo_Lubricantes</f>
        <v>9.120000000000001</v>
      </c>
      <c r="D20" s="68" t="s">
        <v>1618</v>
      </c>
      <c r="E20" s="68" t="str">
        <f t="shared" si="0"/>
        <v xml:space="preserve">Aceites lubricantes                                                    </v>
      </c>
    </row>
    <row r="21" spans="1:5" x14ac:dyDescent="0.2">
      <c r="A21" s="68" t="s">
        <v>1849</v>
      </c>
      <c r="B21" s="66" t="s">
        <v>1692</v>
      </c>
      <c r="C21" s="412">
        <f>Equipo_Amortización+Equipo_Interés</f>
        <v>9.6000000000000002E-4</v>
      </c>
      <c r="D21" s="68" t="s">
        <v>1615</v>
      </c>
      <c r="E21" s="68" t="str">
        <f t="shared" ref="E21" si="1">IFERROR(VLOOKUP(D21,T_Indices,5,FALSE),"")</f>
        <v>Equipo - Amortización de equipo</v>
      </c>
    </row>
    <row r="22" spans="1:5" x14ac:dyDescent="0.2">
      <c r="A22" s="68" t="s">
        <v>1848</v>
      </c>
      <c r="B22" s="66" t="s">
        <v>1692</v>
      </c>
      <c r="C22" s="412">
        <f>Camioneta_Amortización</f>
        <v>0</v>
      </c>
      <c r="D22" s="68" t="s">
        <v>1615</v>
      </c>
      <c r="E22" s="68" t="str">
        <f t="shared" si="0"/>
        <v>Equipo - Amortización de equipo</v>
      </c>
    </row>
    <row r="23" spans="1:5" x14ac:dyDescent="0.2">
      <c r="A23" s="68" t="s">
        <v>1700</v>
      </c>
      <c r="B23" s="66" t="s">
        <v>1692</v>
      </c>
      <c r="C23" s="412">
        <f>Camioneta_Interés</f>
        <v>3.3333333333333335E-3</v>
      </c>
      <c r="D23" s="68" t="s">
        <v>1615</v>
      </c>
      <c r="E23" s="68" t="str">
        <f t="shared" si="0"/>
        <v>Equipo - Amortización de equipo</v>
      </c>
    </row>
    <row r="24" spans="1:5" x14ac:dyDescent="0.2">
      <c r="A24" s="68" t="s">
        <v>1701</v>
      </c>
      <c r="B24" s="66" t="s">
        <v>1692</v>
      </c>
      <c r="C24" s="412">
        <f>Camioneta_Seguro</f>
        <v>0</v>
      </c>
      <c r="D24" s="68" t="s">
        <v>1615</v>
      </c>
      <c r="E24" s="68" t="str">
        <f t="shared" si="0"/>
        <v>Equipo - Amortización de equipo</v>
      </c>
    </row>
    <row r="25" spans="1:5" x14ac:dyDescent="0.2">
      <c r="A25" s="68" t="s">
        <v>1702</v>
      </c>
      <c r="B25" s="66" t="s">
        <v>1692</v>
      </c>
      <c r="C25" s="412">
        <f>Camioneta_Patente</f>
        <v>0</v>
      </c>
      <c r="D25" s="68" t="s">
        <v>1615</v>
      </c>
      <c r="E25" s="68" t="str">
        <f t="shared" si="0"/>
        <v>Equipo - Amortización de equipo</v>
      </c>
    </row>
    <row r="26" spans="1:5" x14ac:dyDescent="0.2">
      <c r="A26" s="68" t="s">
        <v>1703</v>
      </c>
      <c r="B26" s="66" t="s">
        <v>1692</v>
      </c>
      <c r="C26" s="412">
        <f>Camioneta_Combustibles_Lubricantes</f>
        <v>0</v>
      </c>
      <c r="D26" s="68" t="s">
        <v>1616</v>
      </c>
      <c r="E26" s="68" t="str">
        <f t="shared" si="0"/>
        <v xml:space="preserve">Gas oil                                                                </v>
      </c>
    </row>
    <row r="27" spans="1:5" x14ac:dyDescent="0.2">
      <c r="A27" s="68" t="s">
        <v>1704</v>
      </c>
      <c r="B27" s="66" t="s">
        <v>1692</v>
      </c>
      <c r="C27" s="412">
        <f>Camioneta_Cámara_Cubiertas</f>
        <v>0</v>
      </c>
      <c r="D27" s="68" t="s">
        <v>1705</v>
      </c>
      <c r="E27" s="68" t="str">
        <f t="shared" si="0"/>
        <v xml:space="preserve">Cubiertas radiales                                                     </v>
      </c>
    </row>
    <row r="28" spans="1:5" x14ac:dyDescent="0.2">
      <c r="A28" s="68"/>
      <c r="B28" s="66"/>
      <c r="C28" s="71"/>
      <c r="D28" s="68"/>
      <c r="E28" s="68" t="str">
        <f t="shared" si="0"/>
        <v/>
      </c>
    </row>
    <row r="29" spans="1:5" x14ac:dyDescent="0.2">
      <c r="A29" s="68"/>
      <c r="B29" s="66"/>
      <c r="C29" s="71"/>
      <c r="D29" s="68"/>
      <c r="E29" s="68" t="str">
        <f t="shared" si="0"/>
        <v/>
      </c>
    </row>
    <row r="30" spans="1:5" x14ac:dyDescent="0.2">
      <c r="A30" s="68" t="s">
        <v>915</v>
      </c>
      <c r="B30" s="66"/>
      <c r="C30" s="71"/>
      <c r="D30" s="68" t="s">
        <v>911</v>
      </c>
      <c r="E30" s="68" t="str">
        <f t="shared" si="0"/>
        <v>Camión volcador</v>
      </c>
    </row>
    <row r="31" spans="1:5" x14ac:dyDescent="0.2">
      <c r="A31" s="68" t="s">
        <v>909</v>
      </c>
      <c r="B31" s="66"/>
      <c r="C31" s="71"/>
      <c r="D31" s="68" t="s">
        <v>911</v>
      </c>
      <c r="E31" s="68" t="str">
        <f t="shared" si="0"/>
        <v>Camión volcador</v>
      </c>
    </row>
    <row r="32" spans="1:5" x14ac:dyDescent="0.2">
      <c r="A32" s="68" t="s">
        <v>914</v>
      </c>
      <c r="B32" s="66"/>
      <c r="C32" s="71"/>
      <c r="D32" s="68" t="s">
        <v>911</v>
      </c>
      <c r="E32" s="68" t="str">
        <f t="shared" si="0"/>
        <v>Camión volcador</v>
      </c>
    </row>
    <row r="33" spans="1:5" x14ac:dyDescent="0.2">
      <c r="A33" s="68" t="s">
        <v>923</v>
      </c>
      <c r="B33" s="66"/>
      <c r="C33" s="72"/>
      <c r="D33" s="68" t="s">
        <v>924</v>
      </c>
      <c r="E33" s="68" t="str">
        <f t="shared" si="0"/>
        <v>Pluma 300 Kg.</v>
      </c>
    </row>
    <row r="34" spans="1:5" x14ac:dyDescent="0.2">
      <c r="A34" s="68" t="s">
        <v>917</v>
      </c>
      <c r="B34" s="66"/>
      <c r="C34" s="71"/>
      <c r="D34" s="68" t="s">
        <v>918</v>
      </c>
      <c r="E34" s="68" t="str">
        <f t="shared" si="0"/>
        <v xml:space="preserve">Herramientas de mano                                                   </v>
      </c>
    </row>
    <row r="35" spans="1:5" x14ac:dyDescent="0.2">
      <c r="A35" s="68" t="s">
        <v>1009</v>
      </c>
      <c r="B35" s="66"/>
      <c r="C35" s="71"/>
      <c r="D35" s="68" t="s">
        <v>1615</v>
      </c>
      <c r="E35" s="68" t="str">
        <f t="shared" si="0"/>
        <v>Equipo - Amortización de equipo</v>
      </c>
    </row>
    <row r="36" spans="1:5" ht="12.75" x14ac:dyDescent="0.2">
      <c r="A36" s="68" t="s">
        <v>792</v>
      </c>
      <c r="B36" s="66"/>
      <c r="C36" s="360"/>
      <c r="D36" s="69" t="s">
        <v>1619</v>
      </c>
      <c r="E36" s="68" t="str">
        <f t="shared" si="0"/>
        <v xml:space="preserve">Máquinas viales autopropulsadas                                        </v>
      </c>
    </row>
    <row r="37" spans="1:5" ht="12.75" x14ac:dyDescent="0.2">
      <c r="A37" s="68" t="s">
        <v>793</v>
      </c>
      <c r="B37" s="66"/>
      <c r="C37" s="360"/>
      <c r="D37" s="69" t="s">
        <v>1620</v>
      </c>
      <c r="E37" s="68" t="str">
        <f t="shared" si="0"/>
        <v xml:space="preserve">Máquinas viales no autopropulsadas                                     </v>
      </c>
    </row>
    <row r="38" spans="1:5" x14ac:dyDescent="0.2">
      <c r="A38" s="68" t="s">
        <v>912</v>
      </c>
      <c r="B38" s="66"/>
      <c r="C38" s="71"/>
      <c r="D38" s="68" t="s">
        <v>913</v>
      </c>
      <c r="E38" s="68" t="str">
        <f t="shared" si="0"/>
        <v>Taladro percutor</v>
      </c>
    </row>
    <row r="39" spans="1:5" x14ac:dyDescent="0.2">
      <c r="A39" s="68" t="s">
        <v>1010</v>
      </c>
      <c r="B39" s="66"/>
      <c r="C39" s="71"/>
      <c r="D39" s="68" t="s">
        <v>1621</v>
      </c>
      <c r="E39" s="68" t="str">
        <f t="shared" si="0"/>
        <v xml:space="preserve">Accesorios y repuestos para máquinas de uso especial                 </v>
      </c>
    </row>
    <row r="40" spans="1:5" x14ac:dyDescent="0.2">
      <c r="A40" s="68" t="s">
        <v>363</v>
      </c>
      <c r="B40" s="66"/>
      <c r="C40" s="71"/>
      <c r="D40" s="68" t="s">
        <v>910</v>
      </c>
      <c r="E40" s="68" t="str">
        <f t="shared" si="0"/>
        <v>Retroexcavadora</v>
      </c>
    </row>
    <row r="41" spans="1:5" x14ac:dyDescent="0.2">
      <c r="A41" s="68"/>
      <c r="B41" s="66"/>
      <c r="C41" s="71"/>
      <c r="D41" s="68"/>
      <c r="E41" s="68" t="str">
        <f t="shared" si="0"/>
        <v/>
      </c>
    </row>
    <row r="42" spans="1:5" x14ac:dyDescent="0.2">
      <c r="A42" s="68" t="s">
        <v>1010</v>
      </c>
      <c r="B42" s="66"/>
      <c r="C42" s="71"/>
      <c r="D42" s="154"/>
      <c r="E42" s="68" t="str">
        <f t="shared" si="0"/>
        <v/>
      </c>
    </row>
    <row r="43" spans="1:5" x14ac:dyDescent="0.2">
      <c r="A43" s="68" t="s">
        <v>870</v>
      </c>
      <c r="B43" s="66"/>
      <c r="C43" s="71"/>
      <c r="D43" s="154"/>
      <c r="E43" s="68" t="str">
        <f t="shared" si="0"/>
        <v/>
      </c>
    </row>
    <row r="44" spans="1:5" x14ac:dyDescent="0.2">
      <c r="A44" s="68" t="s">
        <v>1011</v>
      </c>
      <c r="B44" s="66"/>
      <c r="C44" s="71"/>
      <c r="D44" s="154"/>
      <c r="E44" s="68" t="str">
        <f t="shared" si="0"/>
        <v/>
      </c>
    </row>
    <row r="45" spans="1:5" x14ac:dyDescent="0.2">
      <c r="A45" s="68"/>
      <c r="B45" s="66"/>
      <c r="C45" s="71"/>
      <c r="D45" s="68"/>
      <c r="E45" s="68" t="str">
        <f t="shared" si="0"/>
        <v/>
      </c>
    </row>
    <row r="46" spans="1:5" ht="12.75" x14ac:dyDescent="0.2">
      <c r="A46" s="68" t="s">
        <v>1782</v>
      </c>
      <c r="B46" s="66" t="s">
        <v>1866</v>
      </c>
      <c r="C46" s="360">
        <v>10</v>
      </c>
      <c r="D46" s="69" t="s">
        <v>921</v>
      </c>
      <c r="E46" s="68" t="str">
        <f t="shared" si="0"/>
        <v>Acero aletado conformado, en barra</v>
      </c>
    </row>
    <row r="47" spans="1:5" ht="12.75" x14ac:dyDescent="0.2">
      <c r="A47" s="68" t="s">
        <v>1783</v>
      </c>
      <c r="B47" s="66"/>
      <c r="C47" s="360"/>
      <c r="D47" s="69" t="s">
        <v>921</v>
      </c>
      <c r="E47" s="68" t="str">
        <f t="shared" si="0"/>
        <v>Acero aletado conformado, en barra</v>
      </c>
    </row>
    <row r="48" spans="1:5" ht="12.75" x14ac:dyDescent="0.2">
      <c r="A48" s="68" t="s">
        <v>731</v>
      </c>
      <c r="B48" s="361"/>
      <c r="C48" s="360"/>
      <c r="D48" s="69" t="s">
        <v>930</v>
      </c>
      <c r="E48" s="68" t="str">
        <f t="shared" si="0"/>
        <v xml:space="preserve">Perfiles de hierro                                                     </v>
      </c>
    </row>
    <row r="49" spans="1:5" ht="12.75" x14ac:dyDescent="0.2">
      <c r="A49" s="68" t="s">
        <v>1784</v>
      </c>
      <c r="B49" s="361"/>
      <c r="C49" s="360"/>
      <c r="D49" s="69" t="s">
        <v>921</v>
      </c>
      <c r="E49" s="68" t="str">
        <f t="shared" si="0"/>
        <v>Acero aletado conformado, en barra</v>
      </c>
    </row>
    <row r="50" spans="1:5" ht="12.75" x14ac:dyDescent="0.2">
      <c r="A50" s="68" t="s">
        <v>1785</v>
      </c>
      <c r="B50" s="362"/>
      <c r="C50" s="360"/>
      <c r="D50" s="69" t="s">
        <v>1622</v>
      </c>
      <c r="E50" s="68" t="str">
        <f t="shared" si="0"/>
        <v>Productos químicos</v>
      </c>
    </row>
    <row r="51" spans="1:5" ht="12.75" x14ac:dyDescent="0.2">
      <c r="A51" s="68" t="s">
        <v>1786</v>
      </c>
      <c r="B51" s="361"/>
      <c r="C51" s="360"/>
      <c r="D51" s="69" t="s">
        <v>1623</v>
      </c>
      <c r="E51" s="68" t="str">
        <f t="shared" si="0"/>
        <v xml:space="preserve">Tejidos de alambre                                                     </v>
      </c>
    </row>
    <row r="52" spans="1:5" ht="12.75" x14ac:dyDescent="0.2">
      <c r="A52" s="68" t="s">
        <v>1787</v>
      </c>
      <c r="B52" s="361"/>
      <c r="C52" s="360"/>
      <c r="D52" s="69" t="s">
        <v>920</v>
      </c>
      <c r="E52" s="68" t="str">
        <f t="shared" si="0"/>
        <v xml:space="preserve">Alambres de acero                                                      </v>
      </c>
    </row>
    <row r="53" spans="1:5" ht="12.75" x14ac:dyDescent="0.2">
      <c r="A53" s="68" t="s">
        <v>746</v>
      </c>
      <c r="B53" s="361"/>
      <c r="C53" s="360"/>
      <c r="D53" s="69" t="s">
        <v>1624</v>
      </c>
      <c r="E53" s="68" t="str">
        <f t="shared" si="0"/>
        <v xml:space="preserve">Lingotes y perfiles de aluminio y sus aleaciones                       </v>
      </c>
    </row>
    <row r="54" spans="1:5" ht="12.75" x14ac:dyDescent="0.2">
      <c r="A54" s="68" t="s">
        <v>1788</v>
      </c>
      <c r="B54" s="362"/>
      <c r="C54" s="360"/>
      <c r="D54" s="69" t="s">
        <v>1625</v>
      </c>
      <c r="E54" s="68" t="str">
        <f t="shared" si="0"/>
        <v xml:space="preserve">Cauchos sintéticos                                                     </v>
      </c>
    </row>
    <row r="55" spans="1:5" x14ac:dyDescent="0.2">
      <c r="A55" s="68" t="s">
        <v>1626</v>
      </c>
      <c r="B55" s="66"/>
      <c r="C55" s="71"/>
      <c r="D55" s="68" t="s">
        <v>927</v>
      </c>
      <c r="E55" s="68" t="str">
        <f t="shared" si="0"/>
        <v>Arena clasificada lavada</v>
      </c>
    </row>
    <row r="56" spans="1:5" ht="12.75" x14ac:dyDescent="0.2">
      <c r="A56" s="68" t="s">
        <v>1627</v>
      </c>
      <c r="B56" s="363"/>
      <c r="C56" s="364"/>
      <c r="D56" s="69" t="s">
        <v>927</v>
      </c>
      <c r="E56" s="68" t="str">
        <f t="shared" si="0"/>
        <v>Arena clasificada lavada</v>
      </c>
    </row>
    <row r="57" spans="1:5" ht="12.75" x14ac:dyDescent="0.2">
      <c r="A57" s="68" t="s">
        <v>1628</v>
      </c>
      <c r="B57" s="363"/>
      <c r="C57" s="364"/>
      <c r="D57" s="69" t="s">
        <v>927</v>
      </c>
      <c r="E57" s="68" t="str">
        <f t="shared" si="0"/>
        <v>Arena clasificada lavada</v>
      </c>
    </row>
    <row r="58" spans="1:5" ht="12.75" x14ac:dyDescent="0.2">
      <c r="A58" s="68" t="s">
        <v>1789</v>
      </c>
      <c r="B58" s="363"/>
      <c r="C58" s="364"/>
      <c r="D58" s="69" t="s">
        <v>1629</v>
      </c>
      <c r="E58" s="68" t="str">
        <f t="shared" si="0"/>
        <v>Asfaliq EM1</v>
      </c>
    </row>
    <row r="59" spans="1:5" ht="12.75" x14ac:dyDescent="0.2">
      <c r="A59" s="68" t="s">
        <v>1790</v>
      </c>
      <c r="B59" s="361"/>
      <c r="C59" s="360"/>
      <c r="D59" s="69" t="s">
        <v>1630</v>
      </c>
      <c r="E59" s="68" t="str">
        <f t="shared" si="0"/>
        <v xml:space="preserve">Balastos                                                               </v>
      </c>
    </row>
    <row r="60" spans="1:5" x14ac:dyDescent="0.2">
      <c r="A60" s="68" t="s">
        <v>916</v>
      </c>
      <c r="B60" s="66"/>
      <c r="C60" s="71"/>
      <c r="D60" s="68" t="s">
        <v>1631</v>
      </c>
      <c r="E60" s="68" t="str">
        <f t="shared" si="0"/>
        <v>Cal hidráulica hidratada</v>
      </c>
    </row>
    <row r="61" spans="1:5" ht="12.75" x14ac:dyDescent="0.2">
      <c r="A61" s="68" t="s">
        <v>1632</v>
      </c>
      <c r="B61" s="361"/>
      <c r="C61" s="360"/>
      <c r="D61" s="69" t="s">
        <v>931</v>
      </c>
      <c r="E61" s="68" t="str">
        <f t="shared" si="0"/>
        <v xml:space="preserve">Chapas metálicas                                                       </v>
      </c>
    </row>
    <row r="62" spans="1:5" ht="12.75" x14ac:dyDescent="0.2">
      <c r="A62" s="68" t="s">
        <v>1791</v>
      </c>
      <c r="B62" s="361"/>
      <c r="C62" s="360"/>
      <c r="D62" s="69" t="s">
        <v>929</v>
      </c>
      <c r="E62" s="68" t="str">
        <f t="shared" si="0"/>
        <v>Caño de hierro galvanizado</v>
      </c>
    </row>
    <row r="63" spans="1:5" ht="12.75" x14ac:dyDescent="0.2">
      <c r="A63" s="68" t="s">
        <v>1792</v>
      </c>
      <c r="B63" s="361"/>
      <c r="C63" s="360"/>
      <c r="D63" s="69" t="s">
        <v>1633</v>
      </c>
      <c r="E63" s="68" t="str">
        <f t="shared" si="0"/>
        <v xml:space="preserve">Hormigón                                                               </v>
      </c>
    </row>
    <row r="64" spans="1:5" x14ac:dyDescent="0.2">
      <c r="A64" s="68" t="s">
        <v>305</v>
      </c>
      <c r="B64" s="70"/>
      <c r="C64" s="72"/>
      <c r="D64" s="69" t="s">
        <v>928</v>
      </c>
      <c r="E64" s="68" t="str">
        <f t="shared" si="0"/>
        <v>Cemento portland normal, en bolsa</v>
      </c>
    </row>
    <row r="65" spans="1:5" x14ac:dyDescent="0.2">
      <c r="A65" s="68" t="s">
        <v>1634</v>
      </c>
      <c r="B65" s="66" t="s">
        <v>890</v>
      </c>
      <c r="C65" s="71"/>
      <c r="D65" s="68" t="s">
        <v>1635</v>
      </c>
      <c r="E65" s="68" t="str">
        <f t="shared" si="0"/>
        <v>Asfaltos, combustibles y lubricantes</v>
      </c>
    </row>
    <row r="66" spans="1:5" ht="12.75" x14ac:dyDescent="0.2">
      <c r="A66" s="68" t="s">
        <v>1793</v>
      </c>
      <c r="B66" s="359"/>
      <c r="C66" s="360"/>
      <c r="D66" s="69" t="s">
        <v>1636</v>
      </c>
      <c r="E66" s="68" t="str">
        <f t="shared" si="0"/>
        <v xml:space="preserve">Clavos                                                                 </v>
      </c>
    </row>
    <row r="67" spans="1:5" ht="12.75" x14ac:dyDescent="0.2">
      <c r="A67" s="68" t="s">
        <v>1794</v>
      </c>
      <c r="B67" s="361"/>
      <c r="C67" s="360"/>
      <c r="D67" s="69" t="s">
        <v>930</v>
      </c>
      <c r="E67" s="68" t="str">
        <f t="shared" si="0"/>
        <v xml:space="preserve">Perfiles de hierro                                                     </v>
      </c>
    </row>
    <row r="68" spans="1:5" ht="12.75" x14ac:dyDescent="0.2">
      <c r="A68" s="68" t="s">
        <v>1795</v>
      </c>
      <c r="B68" s="361"/>
      <c r="C68" s="360"/>
      <c r="D68" s="69" t="s">
        <v>1637</v>
      </c>
      <c r="E68" s="68" t="str">
        <f t="shared" si="0"/>
        <v xml:space="preserve">Conductores eléctricos                                                 </v>
      </c>
    </row>
    <row r="69" spans="1:5" x14ac:dyDescent="0.2">
      <c r="A69" s="68" t="s">
        <v>1638</v>
      </c>
      <c r="B69" s="365"/>
      <c r="C69" s="366"/>
      <c r="D69" s="69" t="s">
        <v>1639</v>
      </c>
      <c r="E69" s="68" t="str">
        <f t="shared" ref="E69:E132" si="2">IFERROR(VLOOKUP(D69,T_Indices,5,FALSE),"")</f>
        <v>Agua para construcción</v>
      </c>
    </row>
    <row r="70" spans="1:5" x14ac:dyDescent="0.2">
      <c r="A70" s="68" t="s">
        <v>1638</v>
      </c>
      <c r="B70" s="66"/>
      <c r="C70" s="71"/>
      <c r="D70" s="68" t="s">
        <v>1639</v>
      </c>
      <c r="E70" s="68" t="str">
        <f t="shared" si="2"/>
        <v>Agua para construcción</v>
      </c>
    </row>
    <row r="71" spans="1:5" x14ac:dyDescent="0.2">
      <c r="A71" s="68" t="s">
        <v>779</v>
      </c>
      <c r="B71" s="365"/>
      <c r="C71" s="366"/>
      <c r="D71" s="69" t="s">
        <v>1640</v>
      </c>
      <c r="E71" s="68" t="str">
        <f t="shared" si="2"/>
        <v xml:space="preserve">Cubiertas convencionales                                               </v>
      </c>
    </row>
    <row r="72" spans="1:5" x14ac:dyDescent="0.2">
      <c r="A72" s="68" t="s">
        <v>1641</v>
      </c>
      <c r="B72" s="66"/>
      <c r="C72" s="71"/>
      <c r="D72" s="68" t="s">
        <v>1635</v>
      </c>
      <c r="E72" s="68" t="str">
        <f t="shared" si="2"/>
        <v>Asfaltos, combustibles y lubricantes</v>
      </c>
    </row>
    <row r="73" spans="1:5" x14ac:dyDescent="0.2">
      <c r="A73" s="68" t="s">
        <v>1642</v>
      </c>
      <c r="B73" s="66"/>
      <c r="C73" s="71"/>
      <c r="D73" s="68" t="s">
        <v>1635</v>
      </c>
      <c r="E73" s="68" t="str">
        <f t="shared" si="2"/>
        <v>Asfaltos, combustibles y lubricantes</v>
      </c>
    </row>
    <row r="74" spans="1:5" ht="12.75" x14ac:dyDescent="0.2">
      <c r="A74" s="68" t="s">
        <v>1796</v>
      </c>
      <c r="B74" s="363"/>
      <c r="C74" s="364"/>
      <c r="D74" s="69" t="s">
        <v>1643</v>
      </c>
      <c r="E74" s="68" t="str">
        <f t="shared" si="2"/>
        <v>Emulsion EBCR</v>
      </c>
    </row>
    <row r="75" spans="1:5" ht="12.75" x14ac:dyDescent="0.2">
      <c r="A75" s="68" t="s">
        <v>922</v>
      </c>
      <c r="B75" s="361"/>
      <c r="C75" s="360"/>
      <c r="D75" s="69" t="s">
        <v>1644</v>
      </c>
      <c r="E75" s="68" t="str">
        <f t="shared" si="2"/>
        <v xml:space="preserve">Esmaltes sintéticos                                                    </v>
      </c>
    </row>
    <row r="76" spans="1:5" x14ac:dyDescent="0.2">
      <c r="A76" s="68" t="s">
        <v>1645</v>
      </c>
      <c r="B76" s="66" t="s">
        <v>890</v>
      </c>
      <c r="C76" s="71"/>
      <c r="D76" s="68" t="s">
        <v>1646</v>
      </c>
      <c r="E76" s="68" t="str">
        <f t="shared" si="2"/>
        <v xml:space="preserve">Cales                                                                  </v>
      </c>
    </row>
    <row r="77" spans="1:5" x14ac:dyDescent="0.2">
      <c r="A77" s="68" t="s">
        <v>1647</v>
      </c>
      <c r="B77" s="66" t="s">
        <v>890</v>
      </c>
      <c r="C77" s="71"/>
      <c r="D77" s="68" t="s">
        <v>1648</v>
      </c>
      <c r="E77" s="68" t="str">
        <f t="shared" si="2"/>
        <v xml:space="preserve">Fuel oil                                                               </v>
      </c>
    </row>
    <row r="78" spans="1:5" ht="12.75" x14ac:dyDescent="0.2">
      <c r="A78" s="68" t="s">
        <v>1797</v>
      </c>
      <c r="B78" s="361"/>
      <c r="C78" s="360"/>
      <c r="D78" s="69" t="s">
        <v>1616</v>
      </c>
      <c r="E78" s="68" t="str">
        <f t="shared" si="2"/>
        <v xml:space="preserve">Gas oil                                                                </v>
      </c>
    </row>
    <row r="79" spans="1:5" ht="12.75" x14ac:dyDescent="0.2">
      <c r="A79" s="68" t="s">
        <v>1798</v>
      </c>
      <c r="B79" s="362"/>
      <c r="C79" s="360"/>
      <c r="D79" s="69" t="s">
        <v>1622</v>
      </c>
      <c r="E79" s="68" t="str">
        <f t="shared" si="2"/>
        <v>Productos químicos</v>
      </c>
    </row>
    <row r="80" spans="1:5" ht="12.75" x14ac:dyDescent="0.2">
      <c r="A80" s="68" t="s">
        <v>1799</v>
      </c>
      <c r="B80" s="362"/>
      <c r="C80" s="360"/>
      <c r="D80" s="69" t="s">
        <v>1622</v>
      </c>
      <c r="E80" s="68" t="str">
        <f t="shared" si="2"/>
        <v>Productos químicos</v>
      </c>
    </row>
    <row r="81" spans="1:5" x14ac:dyDescent="0.2">
      <c r="A81" s="68" t="s">
        <v>1649</v>
      </c>
      <c r="B81" s="66"/>
      <c r="C81" s="68"/>
      <c r="D81" s="68" t="s">
        <v>921</v>
      </c>
      <c r="E81" s="68" t="str">
        <f t="shared" si="2"/>
        <v>Acero aletado conformado, en barra</v>
      </c>
    </row>
    <row r="82" spans="1:5" x14ac:dyDescent="0.2">
      <c r="A82" s="68" t="s">
        <v>1650</v>
      </c>
      <c r="B82" s="66"/>
      <c r="C82" s="68"/>
      <c r="D82" s="68" t="s">
        <v>919</v>
      </c>
      <c r="E82" s="68" t="str">
        <f t="shared" si="2"/>
        <v>Hormigón elaborado</v>
      </c>
    </row>
    <row r="83" spans="1:5" ht="12.75" x14ac:dyDescent="0.2">
      <c r="A83" s="68" t="s">
        <v>1651</v>
      </c>
      <c r="B83" s="363"/>
      <c r="C83" s="364"/>
      <c r="D83" s="69" t="s">
        <v>919</v>
      </c>
      <c r="E83" s="68" t="str">
        <f t="shared" si="2"/>
        <v>Hormigón elaborado</v>
      </c>
    </row>
    <row r="84" spans="1:5" ht="12.75" x14ac:dyDescent="0.2">
      <c r="A84" s="68" t="s">
        <v>1652</v>
      </c>
      <c r="B84" s="363"/>
      <c r="C84" s="364"/>
      <c r="D84" s="69" t="s">
        <v>925</v>
      </c>
      <c r="E84" s="68" t="str">
        <f t="shared" si="2"/>
        <v>Ladrillón de 1°</v>
      </c>
    </row>
    <row r="85" spans="1:5" ht="12.75" x14ac:dyDescent="0.2">
      <c r="A85" s="68" t="s">
        <v>1800</v>
      </c>
      <c r="B85" s="361"/>
      <c r="C85" s="360"/>
      <c r="D85" s="69" t="s">
        <v>933</v>
      </c>
      <c r="E85" s="68" t="str">
        <f t="shared" si="2"/>
        <v>Artefacto de iluminación</v>
      </c>
    </row>
    <row r="86" spans="1:5" ht="12.75" x14ac:dyDescent="0.2">
      <c r="A86" s="68" t="s">
        <v>1801</v>
      </c>
      <c r="B86" s="361"/>
      <c r="C86" s="360"/>
      <c r="D86" s="69" t="s">
        <v>933</v>
      </c>
      <c r="E86" s="68" t="str">
        <f t="shared" si="2"/>
        <v>Artefacto de iluminación</v>
      </c>
    </row>
    <row r="87" spans="1:5" ht="12.75" x14ac:dyDescent="0.2">
      <c r="A87" s="68" t="s">
        <v>325</v>
      </c>
      <c r="B87" s="362"/>
      <c r="C87" s="360"/>
      <c r="D87" s="69" t="s">
        <v>1653</v>
      </c>
      <c r="E87" s="68" t="str">
        <f t="shared" si="2"/>
        <v>Madera para encofrado</v>
      </c>
    </row>
    <row r="88" spans="1:5" x14ac:dyDescent="0.2">
      <c r="A88" s="68" t="s">
        <v>1654</v>
      </c>
      <c r="B88" s="66"/>
      <c r="C88" s="71"/>
      <c r="D88" s="68" t="s">
        <v>926</v>
      </c>
      <c r="E88" s="68" t="str">
        <f t="shared" si="2"/>
        <v>Canto rodado clasificado</v>
      </c>
    </row>
    <row r="89" spans="1:5" x14ac:dyDescent="0.2">
      <c r="A89" s="68" t="s">
        <v>1655</v>
      </c>
      <c r="B89" s="66"/>
      <c r="C89" s="71"/>
      <c r="D89" s="68" t="s">
        <v>926</v>
      </c>
      <c r="E89" s="68" t="str">
        <f t="shared" si="2"/>
        <v>Canto rodado clasificado</v>
      </c>
    </row>
    <row r="90" spans="1:5" ht="12.75" x14ac:dyDescent="0.2">
      <c r="A90" s="68" t="s">
        <v>1656</v>
      </c>
      <c r="B90" s="359"/>
      <c r="C90" s="360"/>
      <c r="D90" s="69" t="s">
        <v>1657</v>
      </c>
      <c r="E90" s="68" t="str">
        <f t="shared" si="2"/>
        <v xml:space="preserve">Canto rodado natural </v>
      </c>
    </row>
    <row r="91" spans="1:5" ht="12.75" x14ac:dyDescent="0.2">
      <c r="A91" s="68" t="s">
        <v>1802</v>
      </c>
      <c r="B91" s="362"/>
      <c r="C91" s="360"/>
      <c r="D91" s="69" t="s">
        <v>1622</v>
      </c>
      <c r="E91" s="68" t="str">
        <f t="shared" si="2"/>
        <v>Productos químicos</v>
      </c>
    </row>
    <row r="92" spans="1:5" ht="12.75" x14ac:dyDescent="0.2">
      <c r="A92" s="68" t="s">
        <v>1803</v>
      </c>
      <c r="B92" s="362"/>
      <c r="C92" s="360"/>
      <c r="D92" s="69" t="s">
        <v>1622</v>
      </c>
      <c r="E92" s="68" t="str">
        <f t="shared" si="2"/>
        <v>Productos químicos</v>
      </c>
    </row>
    <row r="93" spans="1:5" ht="12.75" x14ac:dyDescent="0.2">
      <c r="A93" s="68" t="s">
        <v>739</v>
      </c>
      <c r="B93" s="362"/>
      <c r="C93" s="360"/>
      <c r="D93" s="69" t="s">
        <v>1658</v>
      </c>
      <c r="E93" s="68" t="str">
        <f t="shared" si="2"/>
        <v xml:space="preserve">Membranas asfálticas                                                   </v>
      </c>
    </row>
    <row r="94" spans="1:5" ht="12.75" x14ac:dyDescent="0.2">
      <c r="A94" s="68" t="s">
        <v>1659</v>
      </c>
      <c r="B94" s="363"/>
      <c r="C94" s="364"/>
      <c r="D94" s="69" t="s">
        <v>1660</v>
      </c>
      <c r="E94" s="68" t="str">
        <f t="shared" si="2"/>
        <v>Mezcla 70/30</v>
      </c>
    </row>
    <row r="95" spans="1:5" ht="12.75" x14ac:dyDescent="0.2">
      <c r="A95" s="68" t="s">
        <v>1804</v>
      </c>
      <c r="B95" s="361"/>
      <c r="C95" s="360"/>
      <c r="D95" s="69" t="s">
        <v>1661</v>
      </c>
      <c r="E95" s="68" t="str">
        <f t="shared" si="2"/>
        <v xml:space="preserve">Naftas                                                                 </v>
      </c>
    </row>
    <row r="96" spans="1:5" ht="12.75" x14ac:dyDescent="0.2">
      <c r="A96" s="68" t="s">
        <v>1805</v>
      </c>
      <c r="B96" s="362"/>
      <c r="C96" s="360"/>
      <c r="D96" s="69" t="s">
        <v>1622</v>
      </c>
      <c r="E96" s="68" t="str">
        <f t="shared" si="2"/>
        <v>Productos químicos</v>
      </c>
    </row>
    <row r="97" spans="1:5" x14ac:dyDescent="0.2">
      <c r="A97" s="68" t="s">
        <v>1662</v>
      </c>
      <c r="B97" s="66"/>
      <c r="C97" s="71"/>
      <c r="D97" s="68" t="s">
        <v>927</v>
      </c>
      <c r="E97" s="68" t="str">
        <f t="shared" si="2"/>
        <v>Arena clasificada lavada</v>
      </c>
    </row>
    <row r="98" spans="1:5" ht="12.75" x14ac:dyDescent="0.2">
      <c r="A98" s="68" t="s">
        <v>1806</v>
      </c>
      <c r="B98" s="361"/>
      <c r="C98" s="360"/>
      <c r="D98" s="69" t="s">
        <v>930</v>
      </c>
      <c r="E98" s="68" t="str">
        <f t="shared" si="2"/>
        <v xml:space="preserve">Perfiles de hierro                                                     </v>
      </c>
    </row>
    <row r="99" spans="1:5" ht="12.75" x14ac:dyDescent="0.2">
      <c r="A99" s="68" t="s">
        <v>1807</v>
      </c>
      <c r="B99" s="362"/>
      <c r="C99" s="360"/>
      <c r="D99" s="69" t="s">
        <v>1663</v>
      </c>
      <c r="E99" s="68" t="str">
        <f t="shared" si="2"/>
        <v xml:space="preserve">Maderas aserradas                                                      </v>
      </c>
    </row>
    <row r="100" spans="1:5" ht="12.75" x14ac:dyDescent="0.2">
      <c r="A100" s="68" t="s">
        <v>1808</v>
      </c>
      <c r="B100" s="362"/>
      <c r="C100" s="360"/>
      <c r="D100" s="69" t="s">
        <v>1622</v>
      </c>
      <c r="E100" s="68" t="str">
        <f t="shared" si="2"/>
        <v>Productos químicos</v>
      </c>
    </row>
    <row r="101" spans="1:5" ht="12.75" x14ac:dyDescent="0.2">
      <c r="A101" s="68" t="s">
        <v>1809</v>
      </c>
      <c r="B101" s="362"/>
      <c r="C101" s="360"/>
      <c r="D101" s="69" t="s">
        <v>1622</v>
      </c>
      <c r="E101" s="68" t="str">
        <f t="shared" si="2"/>
        <v>Productos químicos</v>
      </c>
    </row>
    <row r="102" spans="1:5" ht="12.75" x14ac:dyDescent="0.2">
      <c r="A102" s="68" t="s">
        <v>1810</v>
      </c>
      <c r="B102" s="362"/>
      <c r="C102" s="360"/>
      <c r="D102" s="69" t="s">
        <v>1622</v>
      </c>
      <c r="E102" s="68" t="str">
        <f t="shared" si="2"/>
        <v>Productos químicos</v>
      </c>
    </row>
    <row r="103" spans="1:5" ht="12.75" x14ac:dyDescent="0.2">
      <c r="A103" s="68" t="s">
        <v>1811</v>
      </c>
      <c r="B103" s="361"/>
      <c r="C103" s="360"/>
      <c r="D103" s="69" t="s">
        <v>932</v>
      </c>
      <c r="E103" s="68" t="str">
        <f t="shared" si="2"/>
        <v xml:space="preserve">Interruptores eléctricos                                               </v>
      </c>
    </row>
    <row r="104" spans="1:5" ht="12.75" x14ac:dyDescent="0.2">
      <c r="A104" s="68" t="s">
        <v>1812</v>
      </c>
      <c r="B104" s="362"/>
      <c r="C104" s="360"/>
      <c r="D104" s="69" t="s">
        <v>1625</v>
      </c>
      <c r="E104" s="68" t="str">
        <f t="shared" si="2"/>
        <v xml:space="preserve">Cauchos sintéticos                                                     </v>
      </c>
    </row>
    <row r="105" spans="1:5" ht="12.75" x14ac:dyDescent="0.2">
      <c r="A105" s="68" t="s">
        <v>1813</v>
      </c>
      <c r="B105" s="361"/>
      <c r="C105" s="360"/>
      <c r="D105" s="69" t="s">
        <v>930</v>
      </c>
      <c r="E105" s="68" t="str">
        <f t="shared" si="2"/>
        <v xml:space="preserve">Perfiles de hierro                                                     </v>
      </c>
    </row>
    <row r="106" spans="1:5" x14ac:dyDescent="0.2">
      <c r="A106" s="68" t="s">
        <v>1664</v>
      </c>
      <c r="B106" s="66"/>
      <c r="C106" s="71"/>
      <c r="D106" s="68" t="s">
        <v>927</v>
      </c>
      <c r="E106" s="68" t="str">
        <f t="shared" si="2"/>
        <v>Arena clasificada lavada</v>
      </c>
    </row>
    <row r="107" spans="1:5" x14ac:dyDescent="0.2">
      <c r="A107" s="68"/>
      <c r="B107" s="66"/>
      <c r="C107" s="68"/>
      <c r="D107" s="68"/>
      <c r="E107" s="68" t="str">
        <f t="shared" si="2"/>
        <v/>
      </c>
    </row>
    <row r="108" spans="1:5" x14ac:dyDescent="0.2">
      <c r="A108" s="68"/>
      <c r="B108" s="66"/>
      <c r="C108" s="71"/>
      <c r="D108" s="68"/>
      <c r="E108" s="68" t="str">
        <f t="shared" si="2"/>
        <v/>
      </c>
    </row>
    <row r="109" spans="1:5" x14ac:dyDescent="0.2">
      <c r="A109" s="68"/>
      <c r="B109" s="66"/>
      <c r="C109" s="71"/>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37" zoomScale="120" zoomScaleNormal="120" workbookViewId="0">
      <selection activeCell="D32" sqref="D32"/>
    </sheetView>
  </sheetViews>
  <sheetFormatPr baseColWidth="10" defaultRowHeight="11.25" x14ac:dyDescent="0.2"/>
  <cols>
    <col min="1" max="1" width="19.28515625" style="367" customWidth="1"/>
    <col min="2" max="2" width="19.140625" style="367" customWidth="1"/>
    <col min="3" max="3" width="37.7109375" style="367" customWidth="1"/>
    <col min="4" max="4" width="12.42578125" style="367" customWidth="1"/>
    <col min="5" max="5" width="11.42578125" style="367"/>
    <col min="6" max="6" width="12" style="367" bestFit="1" customWidth="1"/>
    <col min="7" max="7" width="12.7109375" style="367" customWidth="1"/>
    <col min="8" max="8" width="11.42578125" style="367"/>
    <col min="9" max="9" width="12.85546875" style="367" bestFit="1" customWidth="1"/>
    <col min="10" max="10" width="13.28515625" style="367" bestFit="1" customWidth="1"/>
    <col min="11" max="16384" width="11.42578125" style="367"/>
  </cols>
  <sheetData>
    <row r="1" spans="1:7" x14ac:dyDescent="0.2">
      <c r="A1" s="846" t="s">
        <v>1665</v>
      </c>
      <c r="B1" s="846"/>
      <c r="C1" s="846"/>
      <c r="D1" s="846"/>
      <c r="E1" s="846"/>
      <c r="F1" s="846"/>
      <c r="G1" s="846"/>
    </row>
    <row r="2" spans="1:7" x14ac:dyDescent="0.2">
      <c r="A2" s="368" t="s">
        <v>711</v>
      </c>
      <c r="B2" s="368" t="str">
        <f>Comitente</f>
        <v>DEPARTAMENTO DE HIDRAULICA</v>
      </c>
      <c r="C2" s="369"/>
      <c r="D2" s="370"/>
      <c r="E2" s="370"/>
      <c r="F2" s="371"/>
      <c r="G2" s="371"/>
    </row>
    <row r="3" spans="1:7" x14ac:dyDescent="0.2">
      <c r="A3" s="368" t="s">
        <v>712</v>
      </c>
      <c r="B3" s="368">
        <f>Contratista</f>
        <v>0</v>
      </c>
      <c r="C3" s="372"/>
      <c r="D3" s="372"/>
      <c r="E3" s="372"/>
      <c r="F3" s="368"/>
      <c r="G3" s="368"/>
    </row>
    <row r="4" spans="1:7" x14ac:dyDescent="0.2">
      <c r="A4" s="368" t="s">
        <v>21</v>
      </c>
      <c r="B4" s="368" t="str">
        <f>Obra</f>
        <v xml:space="preserve">CONTRATACION DE 800 HS. TOPADORA   Y/O CARGADORA
PARA MEJORA DE OBRAS DE DEFENSAS DE MATERIAL SUELTO DE BAJADAS DE CRECIENTES, ENCAUZAMIENTOS
-DEPARTAMENTOS ALBARDON - ULLUM - ZONDA -
</v>
      </c>
      <c r="C4" s="372"/>
      <c r="D4" s="368" t="s">
        <v>32</v>
      </c>
      <c r="E4" s="368">
        <f>Fecha_Base</f>
        <v>44295</v>
      </c>
    </row>
    <row r="5" spans="1:7" x14ac:dyDescent="0.2">
      <c r="A5" s="373" t="s">
        <v>710</v>
      </c>
      <c r="B5" s="373" t="str">
        <f>Ubicación</f>
        <v>DEPARTAMENTO ALBARDON, ULLUM Y ZONDA</v>
      </c>
      <c r="C5" s="373"/>
      <c r="D5" s="374"/>
      <c r="E5" s="375"/>
      <c r="F5" s="376"/>
      <c r="G5" s="377"/>
    </row>
    <row r="6" spans="1:7" x14ac:dyDescent="0.2">
      <c r="A6" s="373"/>
      <c r="B6" s="373"/>
      <c r="C6" s="373"/>
      <c r="D6" s="374"/>
      <c r="E6" s="375"/>
      <c r="F6" s="376"/>
      <c r="G6" s="377"/>
    </row>
    <row r="7" spans="1:7" x14ac:dyDescent="0.2">
      <c r="A7" s="373"/>
      <c r="B7" s="378"/>
      <c r="C7" s="379" t="s">
        <v>1666</v>
      </c>
      <c r="D7" s="374"/>
      <c r="E7" s="375"/>
      <c r="F7" s="373"/>
      <c r="G7" s="380"/>
    </row>
    <row r="8" spans="1:7" x14ac:dyDescent="0.2">
      <c r="A8" s="373"/>
      <c r="B8" s="378"/>
      <c r="C8" s="381"/>
      <c r="D8" s="382" t="s">
        <v>1667</v>
      </c>
      <c r="F8" s="373"/>
      <c r="G8" s="380"/>
    </row>
    <row r="9" spans="1:7" x14ac:dyDescent="0.2">
      <c r="A9" s="373"/>
      <c r="B9" s="378"/>
      <c r="C9" s="381"/>
      <c r="D9" s="375"/>
      <c r="F9" s="373"/>
      <c r="G9" s="380"/>
    </row>
    <row r="10" spans="1:7" x14ac:dyDescent="0.2">
      <c r="A10" s="383" t="s">
        <v>1668</v>
      </c>
      <c r="C10" s="367" t="s">
        <v>1008</v>
      </c>
      <c r="D10" s="407">
        <f>IF(V_U_Equipo+8*Interés_Anual/(2*2000)=0,0,8*Porcentaje_amortizaciónl_Equipo/V_U_Equipo)</f>
        <v>8.0000000000000004E-4</v>
      </c>
      <c r="F10" s="384"/>
      <c r="G10" s="380"/>
    </row>
    <row r="11" spans="1:7" x14ac:dyDescent="0.2">
      <c r="A11" s="385"/>
      <c r="C11" s="378"/>
      <c r="D11" s="408"/>
      <c r="F11" s="387"/>
      <c r="G11" s="380"/>
    </row>
    <row r="12" spans="1:7" x14ac:dyDescent="0.2">
      <c r="A12" s="373"/>
      <c r="D12" s="409"/>
      <c r="F12" s="373"/>
      <c r="G12" s="380"/>
    </row>
    <row r="13" spans="1:7" x14ac:dyDescent="0.2">
      <c r="A13" s="383" t="s">
        <v>1009</v>
      </c>
      <c r="C13" s="367" t="s">
        <v>1009</v>
      </c>
      <c r="D13" s="407">
        <f>IF(V_U_Equipo+8*Interés_Anual/(2*2000)=0,0,8*Interés_Anual/(2*2000))</f>
        <v>1.6000000000000001E-4</v>
      </c>
      <c r="F13" s="384"/>
      <c r="G13" s="380"/>
    </row>
    <row r="14" spans="1:7" x14ac:dyDescent="0.2">
      <c r="A14" s="385"/>
      <c r="C14" s="378"/>
      <c r="D14" s="408"/>
      <c r="F14" s="387"/>
      <c r="G14" s="380"/>
    </row>
    <row r="15" spans="1:7" x14ac:dyDescent="0.2">
      <c r="A15" s="385"/>
      <c r="C15" s="378"/>
      <c r="D15" s="408"/>
      <c r="F15" s="387"/>
      <c r="G15" s="380"/>
    </row>
    <row r="16" spans="1:7" x14ac:dyDescent="0.2">
      <c r="A16" s="383" t="s">
        <v>1010</v>
      </c>
      <c r="C16" s="367" t="s">
        <v>1010</v>
      </c>
      <c r="D16" s="407">
        <f>IF(V_U_Equipo*Porc_repuestos_reparaciones_de_amortización=0,0,8*Porcentaje_amortizaciónl_Equipo/V_U_Equipo*Porc_repuestos_reparaciones_de_amortización)</f>
        <v>1.6000000000000001E-4</v>
      </c>
      <c r="F16" s="387"/>
      <c r="G16" s="380"/>
    </row>
    <row r="17" spans="1:7" x14ac:dyDescent="0.2">
      <c r="A17" s="383"/>
      <c r="C17" s="378"/>
      <c r="D17" s="386"/>
      <c r="F17" s="373"/>
      <c r="G17" s="374"/>
    </row>
    <row r="18" spans="1:7" x14ac:dyDescent="0.2">
      <c r="A18" s="383"/>
      <c r="C18" s="378"/>
      <c r="D18" s="388"/>
      <c r="F18" s="373"/>
      <c r="G18" s="374"/>
    </row>
    <row r="19" spans="1:7" x14ac:dyDescent="0.2">
      <c r="A19" s="383" t="s">
        <v>1617</v>
      </c>
      <c r="C19" s="367" t="s">
        <v>870</v>
      </c>
      <c r="D19" s="406">
        <f>Consumo_gasoil_Equipo_porHP*8*Precio_gasoil</f>
        <v>45.6</v>
      </c>
      <c r="F19" s="373"/>
      <c r="G19" s="374"/>
    </row>
    <row r="20" spans="1:7" x14ac:dyDescent="0.2">
      <c r="A20" s="373"/>
      <c r="C20" s="378"/>
      <c r="D20" s="388"/>
      <c r="F20" s="373"/>
      <c r="G20" s="374"/>
    </row>
    <row r="21" spans="1:7" x14ac:dyDescent="0.2">
      <c r="A21" s="373"/>
      <c r="C21" s="378"/>
      <c r="D21" s="388"/>
      <c r="F21" s="373"/>
      <c r="G21" s="374"/>
    </row>
    <row r="22" spans="1:7" x14ac:dyDescent="0.2">
      <c r="A22" s="373"/>
      <c r="C22" s="367" t="s">
        <v>1011</v>
      </c>
      <c r="D22" s="406">
        <f>Consumo_gasoil_Equipo_porHP*8*Precio_gasoil*Porcentaje_lubricantes_respecto_al_combustible</f>
        <v>9.120000000000001</v>
      </c>
      <c r="F22" s="373"/>
      <c r="G22" s="389"/>
    </row>
    <row r="23" spans="1:7" x14ac:dyDescent="0.2">
      <c r="A23" s="373"/>
      <c r="B23" s="378"/>
      <c r="C23" s="378"/>
      <c r="D23" s="388"/>
      <c r="E23" s="389"/>
      <c r="F23" s="373"/>
      <c r="G23" s="374"/>
    </row>
    <row r="24" spans="1:7" x14ac:dyDescent="0.2">
      <c r="A24" s="373"/>
      <c r="B24" s="378" t="s">
        <v>1669</v>
      </c>
      <c r="C24" s="388"/>
      <c r="D24" s="388"/>
      <c r="E24" s="386"/>
      <c r="F24" s="373"/>
      <c r="G24" s="390"/>
    </row>
    <row r="25" spans="1:7" x14ac:dyDescent="0.2">
      <c r="A25" s="373"/>
      <c r="B25" s="391" t="s">
        <v>1670</v>
      </c>
      <c r="C25" s="392"/>
      <c r="D25" s="393">
        <v>10000</v>
      </c>
      <c r="E25" s="375"/>
      <c r="F25" s="373"/>
      <c r="G25" s="390"/>
    </row>
    <row r="26" spans="1:7" x14ac:dyDescent="0.2">
      <c r="A26" s="373"/>
      <c r="B26" s="391" t="s">
        <v>1671</v>
      </c>
      <c r="C26" s="392"/>
      <c r="D26" s="394">
        <v>1</v>
      </c>
      <c r="E26" s="375"/>
      <c r="F26" s="373"/>
      <c r="G26" s="390"/>
    </row>
    <row r="27" spans="1:7" x14ac:dyDescent="0.2">
      <c r="A27" s="373"/>
      <c r="B27" s="395" t="s">
        <v>1672</v>
      </c>
      <c r="C27" s="392"/>
      <c r="D27" s="394">
        <v>0.08</v>
      </c>
      <c r="E27" s="375"/>
      <c r="F27" s="373"/>
      <c r="G27" s="390"/>
    </row>
    <row r="28" spans="1:7" x14ac:dyDescent="0.2">
      <c r="A28" s="373"/>
      <c r="B28" s="395" t="s">
        <v>1673</v>
      </c>
      <c r="C28" s="392"/>
      <c r="D28" s="394">
        <v>0.2</v>
      </c>
      <c r="E28" s="375"/>
      <c r="F28" s="373"/>
      <c r="G28" s="390"/>
    </row>
    <row r="29" spans="1:7" x14ac:dyDescent="0.2">
      <c r="A29" s="373"/>
      <c r="B29" s="395" t="s">
        <v>1674</v>
      </c>
      <c r="C29" s="392"/>
      <c r="D29" s="396">
        <v>0.15</v>
      </c>
      <c r="E29" s="375"/>
      <c r="F29" s="373"/>
      <c r="G29" s="390"/>
    </row>
    <row r="30" spans="1:7" x14ac:dyDescent="0.2">
      <c r="A30" s="373"/>
      <c r="B30" s="395" t="s">
        <v>1675</v>
      </c>
      <c r="C30" s="392"/>
      <c r="D30" s="397">
        <v>38</v>
      </c>
      <c r="E30" s="375"/>
      <c r="F30" s="373"/>
      <c r="G30" s="374"/>
    </row>
    <row r="31" spans="1:7" x14ac:dyDescent="0.2">
      <c r="A31" s="373"/>
      <c r="B31" s="395" t="s">
        <v>1676</v>
      </c>
      <c r="C31" s="392"/>
      <c r="D31" s="394">
        <v>0.2</v>
      </c>
      <c r="E31" s="375"/>
      <c r="F31" s="373"/>
      <c r="G31" s="374"/>
    </row>
    <row r="32" spans="1:7" x14ac:dyDescent="0.2">
      <c r="A32" s="388"/>
      <c r="B32" s="388"/>
      <c r="C32" s="388"/>
      <c r="D32" s="388"/>
      <c r="E32" s="388"/>
      <c r="F32" s="388"/>
      <c r="G32" s="388"/>
    </row>
    <row r="33" spans="1:7" x14ac:dyDescent="0.2">
      <c r="A33" s="388"/>
      <c r="B33" s="388"/>
      <c r="C33" s="379" t="s">
        <v>1677</v>
      </c>
      <c r="D33" s="388"/>
      <c r="E33" s="388"/>
      <c r="F33" s="388"/>
      <c r="G33" s="388"/>
    </row>
    <row r="34" spans="1:7" x14ac:dyDescent="0.2">
      <c r="A34" s="388"/>
      <c r="B34" s="388"/>
      <c r="C34" s="379"/>
      <c r="D34" s="388"/>
      <c r="E34" s="388" t="s">
        <v>1667</v>
      </c>
      <c r="F34" s="388"/>
      <c r="G34" s="388"/>
    </row>
    <row r="35" spans="1:7" x14ac:dyDescent="0.2">
      <c r="A35" s="373"/>
      <c r="B35" s="378"/>
      <c r="C35" s="381"/>
      <c r="D35" s="374"/>
      <c r="E35" s="375"/>
      <c r="F35" s="373"/>
      <c r="G35" s="374"/>
    </row>
    <row r="36" spans="1:7" x14ac:dyDescent="0.2">
      <c r="A36" s="373"/>
      <c r="B36" s="378"/>
      <c r="C36" s="367" t="s">
        <v>1008</v>
      </c>
      <c r="D36" s="384"/>
      <c r="E36" s="398">
        <f>IF(V_U_Camioneta_meses=0,0,P_Camioneta_Amortizar/V_U_Camioneta_meses)</f>
        <v>0</v>
      </c>
      <c r="F36" s="384"/>
      <c r="G36" s="379"/>
    </row>
    <row r="37" spans="1:7" x14ac:dyDescent="0.2">
      <c r="A37" s="373"/>
      <c r="B37" s="378"/>
      <c r="C37" s="378"/>
      <c r="D37" s="384"/>
      <c r="E37" s="389"/>
      <c r="F37" s="384"/>
      <c r="G37" s="379"/>
    </row>
    <row r="38" spans="1:7" x14ac:dyDescent="0.2">
      <c r="A38" s="373"/>
      <c r="B38" s="378"/>
      <c r="D38" s="375"/>
      <c r="E38" s="386"/>
      <c r="F38" s="387"/>
      <c r="G38" s="380"/>
    </row>
    <row r="39" spans="1:7" x14ac:dyDescent="0.2">
      <c r="A39" s="373"/>
      <c r="B39" s="378"/>
      <c r="C39" s="367" t="s">
        <v>1009</v>
      </c>
      <c r="D39" s="375"/>
      <c r="E39" s="398">
        <f>Interés_Anual/(2*12)</f>
        <v>3.3333333333333335E-3</v>
      </c>
      <c r="F39" s="387"/>
      <c r="G39" s="380"/>
    </row>
    <row r="40" spans="1:7" x14ac:dyDescent="0.2">
      <c r="A40" s="373"/>
      <c r="B40" s="378"/>
      <c r="C40" s="378"/>
      <c r="D40" s="375"/>
      <c r="E40" s="386"/>
      <c r="F40" s="387"/>
      <c r="G40" s="380"/>
    </row>
    <row r="41" spans="1:7" x14ac:dyDescent="0.2">
      <c r="A41" s="373"/>
      <c r="B41" s="378"/>
      <c r="C41" s="378"/>
      <c r="D41" s="375"/>
      <c r="E41" s="386"/>
      <c r="F41" s="387"/>
      <c r="G41" s="380"/>
    </row>
    <row r="42" spans="1:7" x14ac:dyDescent="0.2">
      <c r="A42" s="373"/>
      <c r="B42" s="378"/>
      <c r="C42" s="367" t="s">
        <v>1691</v>
      </c>
      <c r="D42" s="375"/>
      <c r="E42" s="398">
        <f>D59/12</f>
        <v>0</v>
      </c>
      <c r="F42" s="387"/>
      <c r="G42" s="380"/>
    </row>
    <row r="43" spans="1:7" x14ac:dyDescent="0.2">
      <c r="A43" s="373"/>
      <c r="B43" s="378"/>
      <c r="C43" s="378"/>
      <c r="D43" s="388"/>
      <c r="E43" s="386"/>
      <c r="F43" s="373"/>
      <c r="G43" s="374"/>
    </row>
    <row r="44" spans="1:7" x14ac:dyDescent="0.2">
      <c r="A44" s="373"/>
      <c r="B44" s="378"/>
      <c r="C44" s="378"/>
      <c r="D44" s="388"/>
      <c r="E44" s="386"/>
      <c r="F44" s="373"/>
      <c r="G44" s="374"/>
    </row>
    <row r="45" spans="1:7" x14ac:dyDescent="0.2">
      <c r="A45" s="373"/>
      <c r="B45" s="378"/>
      <c r="C45" s="367" t="s">
        <v>1678</v>
      </c>
      <c r="D45" s="388"/>
      <c r="E45" s="398">
        <f>D60/12</f>
        <v>0</v>
      </c>
      <c r="F45" s="373"/>
      <c r="G45" s="374"/>
    </row>
    <row r="46" spans="1:7" x14ac:dyDescent="0.2">
      <c r="A46" s="373"/>
      <c r="B46" s="378"/>
      <c r="C46" s="378"/>
      <c r="D46" s="388"/>
      <c r="E46" s="386"/>
      <c r="F46" s="373"/>
      <c r="G46" s="374"/>
    </row>
    <row r="47" spans="1:7" x14ac:dyDescent="0.2">
      <c r="A47" s="373"/>
      <c r="B47" s="378"/>
      <c r="C47" s="378"/>
      <c r="D47" s="388"/>
      <c r="E47" s="386"/>
      <c r="F47" s="373"/>
      <c r="G47" s="374"/>
    </row>
    <row r="48" spans="1:7" x14ac:dyDescent="0.2">
      <c r="A48" s="373"/>
      <c r="B48" s="378"/>
      <c r="C48" s="367" t="s">
        <v>1617</v>
      </c>
      <c r="D48" s="388"/>
      <c r="E48" s="399">
        <f>Consumo_gasoil_Camioneta_porkm*Precio_gasoil*(1+Porcentaje_Lubricantes_Camionetas)</f>
        <v>0</v>
      </c>
      <c r="F48" s="373"/>
      <c r="G48" s="374"/>
    </row>
    <row r="49" spans="1:7" x14ac:dyDescent="0.2">
      <c r="A49" s="373"/>
      <c r="B49" s="378"/>
      <c r="C49" s="378"/>
      <c r="D49" s="388"/>
      <c r="E49" s="386"/>
      <c r="F49" s="373"/>
      <c r="G49" s="374"/>
    </row>
    <row r="50" spans="1:7" x14ac:dyDescent="0.2">
      <c r="A50" s="373"/>
      <c r="B50" s="378"/>
      <c r="C50" s="378"/>
      <c r="D50" s="388"/>
      <c r="E50" s="386"/>
      <c r="F50" s="373"/>
      <c r="G50" s="374"/>
    </row>
    <row r="51" spans="1:7" x14ac:dyDescent="0.2">
      <c r="A51" s="373"/>
      <c r="B51" s="378"/>
      <c r="C51" s="378" t="s">
        <v>1679</v>
      </c>
      <c r="D51" s="388"/>
      <c r="E51" s="399">
        <f>IF(V_U_cámara_cubiertas_Camionetas=0,0,Cant_Cubiertas_Camioneta*Costo_de_cámaras_y_cubiertas_Camionetas/V_U_cámara_cubiertas_Camionetas)</f>
        <v>0</v>
      </c>
      <c r="F51" s="373"/>
      <c r="G51" s="374"/>
    </row>
    <row r="52" spans="1:7" x14ac:dyDescent="0.2">
      <c r="A52" s="373"/>
      <c r="B52" s="378"/>
      <c r="C52" s="378"/>
      <c r="D52" s="388"/>
      <c r="E52" s="386"/>
      <c r="F52" s="373"/>
      <c r="G52" s="374"/>
    </row>
    <row r="53" spans="1:7" x14ac:dyDescent="0.2">
      <c r="A53" s="373"/>
      <c r="B53" s="378"/>
      <c r="C53" s="378"/>
      <c r="D53" s="388"/>
      <c r="E53" s="386"/>
      <c r="F53" s="373"/>
      <c r="G53" s="374"/>
    </row>
    <row r="54" spans="1:7" x14ac:dyDescent="0.2">
      <c r="A54" s="373"/>
      <c r="B54" s="378"/>
      <c r="C54" s="378"/>
      <c r="D54" s="388"/>
      <c r="E54" s="389"/>
      <c r="F54" s="373"/>
      <c r="G54" s="374"/>
    </row>
    <row r="55" spans="1:7" x14ac:dyDescent="0.2">
      <c r="A55" s="388"/>
      <c r="B55" s="391" t="s">
        <v>1680</v>
      </c>
      <c r="C55" s="392"/>
      <c r="D55" s="394"/>
      <c r="E55" s="388"/>
      <c r="F55" s="388"/>
      <c r="G55" s="388"/>
    </row>
    <row r="56" spans="1:7" x14ac:dyDescent="0.2">
      <c r="A56" s="388"/>
      <c r="B56" s="400" t="s">
        <v>1681</v>
      </c>
      <c r="C56" s="392"/>
      <c r="D56" s="401"/>
      <c r="E56" s="388"/>
      <c r="F56" s="388"/>
      <c r="G56" s="388"/>
    </row>
    <row r="57" spans="1:7" x14ac:dyDescent="0.2">
      <c r="A57" s="388"/>
      <c r="B57" s="400" t="s">
        <v>1682</v>
      </c>
      <c r="C57" s="392"/>
      <c r="D57" s="402"/>
      <c r="E57" s="388"/>
      <c r="F57" s="388"/>
      <c r="G57" s="388"/>
    </row>
    <row r="58" spans="1:7" x14ac:dyDescent="0.2">
      <c r="A58" s="388"/>
      <c r="B58" s="400" t="s">
        <v>1683</v>
      </c>
      <c r="C58" s="392"/>
      <c r="D58" s="410"/>
      <c r="E58" s="388"/>
      <c r="F58" s="388"/>
      <c r="G58" s="388"/>
    </row>
    <row r="59" spans="1:7" x14ac:dyDescent="0.2">
      <c r="A59" s="388"/>
      <c r="B59" s="400" t="s">
        <v>1684</v>
      </c>
      <c r="C59" s="392"/>
      <c r="D59" s="394"/>
      <c r="E59" s="388"/>
      <c r="F59" s="388"/>
      <c r="G59" s="388"/>
    </row>
    <row r="60" spans="1:7" x14ac:dyDescent="0.2">
      <c r="A60" s="388"/>
      <c r="B60" s="400" t="s">
        <v>1685</v>
      </c>
      <c r="C60" s="392"/>
      <c r="D60" s="394"/>
      <c r="E60" s="388"/>
      <c r="F60" s="388"/>
      <c r="G60" s="388"/>
    </row>
    <row r="61" spans="1:7" x14ac:dyDescent="0.2">
      <c r="A61" s="388"/>
      <c r="B61" s="400" t="s">
        <v>1686</v>
      </c>
      <c r="C61" s="392"/>
      <c r="D61" s="403"/>
      <c r="E61" s="388"/>
      <c r="F61" s="388"/>
      <c r="G61" s="388"/>
    </row>
    <row r="62" spans="1:7" x14ac:dyDescent="0.2">
      <c r="A62" s="388"/>
      <c r="B62" s="400" t="s">
        <v>1687</v>
      </c>
      <c r="C62" s="392"/>
      <c r="D62" s="394"/>
      <c r="E62" s="388"/>
      <c r="F62" s="388"/>
      <c r="G62" s="388"/>
    </row>
    <row r="63" spans="1:7" x14ac:dyDescent="0.2">
      <c r="A63" s="388"/>
      <c r="B63" s="400" t="s">
        <v>1688</v>
      </c>
      <c r="C63" s="392"/>
      <c r="D63" s="404"/>
      <c r="E63" s="388"/>
      <c r="F63" s="388"/>
      <c r="G63" s="388"/>
    </row>
    <row r="64" spans="1:7" x14ac:dyDescent="0.2">
      <c r="A64" s="388"/>
      <c r="B64" s="400" t="s">
        <v>1689</v>
      </c>
      <c r="C64" s="392"/>
      <c r="D64" s="411"/>
      <c r="E64" s="388"/>
      <c r="F64" s="388"/>
      <c r="G64" s="388"/>
    </row>
    <row r="65" spans="1:7" x14ac:dyDescent="0.2">
      <c r="A65" s="388"/>
      <c r="B65" s="400" t="s">
        <v>1690</v>
      </c>
      <c r="C65" s="392"/>
      <c r="D65" s="405"/>
      <c r="E65" s="388"/>
      <c r="F65" s="388"/>
      <c r="G65" s="388"/>
    </row>
    <row r="66" spans="1:7" x14ac:dyDescent="0.2">
      <c r="A66" s="388"/>
      <c r="B66" s="388"/>
      <c r="C66" s="388"/>
      <c r="D66" s="388"/>
      <c r="E66" s="388"/>
      <c r="F66" s="388"/>
      <c r="G66" s="388"/>
    </row>
    <row r="67" spans="1:7" x14ac:dyDescent="0.2">
      <c r="A67" s="388"/>
      <c r="B67" s="388"/>
      <c r="C67" s="388"/>
      <c r="D67" s="388"/>
      <c r="E67" s="388"/>
      <c r="F67" s="388"/>
      <c r="G67" s="388"/>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14" customWidth="1"/>
    <col min="15" max="15" width="23.7109375" style="414" customWidth="1"/>
    <col min="16" max="16" width="10.28515625" style="414" customWidth="1"/>
    <col min="17" max="256" width="11.42578125" style="414"/>
    <col min="257" max="257" width="7" style="414" customWidth="1"/>
    <col min="258" max="258" width="10.7109375" style="414" customWidth="1"/>
    <col min="259" max="259" width="10.5703125" style="414" customWidth="1"/>
    <col min="260" max="260" width="10.7109375" style="414" customWidth="1"/>
    <col min="261" max="261" width="10.28515625" style="414" customWidth="1"/>
    <col min="262" max="262" width="10.7109375" style="414" customWidth="1"/>
    <col min="263" max="263" width="9.42578125" style="414" customWidth="1"/>
    <col min="264" max="264" width="10.5703125" style="414" customWidth="1"/>
    <col min="265" max="265" width="13.7109375" style="414" customWidth="1"/>
    <col min="266" max="267" width="10.42578125" style="414" customWidth="1"/>
    <col min="268" max="268" width="10.28515625" style="414" customWidth="1"/>
    <col min="269" max="269" width="9.42578125" style="414" customWidth="1"/>
    <col min="270" max="270" width="8.7109375" style="414" customWidth="1"/>
    <col min="271" max="271" width="10.42578125" style="414" customWidth="1"/>
    <col min="272" max="272" width="10.28515625" style="414" customWidth="1"/>
    <col min="273" max="512" width="11.42578125" style="414"/>
    <col min="513" max="513" width="7" style="414" customWidth="1"/>
    <col min="514" max="514" width="10.7109375" style="414" customWidth="1"/>
    <col min="515" max="515" width="10.5703125" style="414" customWidth="1"/>
    <col min="516" max="516" width="10.7109375" style="414" customWidth="1"/>
    <col min="517" max="517" width="10.28515625" style="414" customWidth="1"/>
    <col min="518" max="518" width="10.7109375" style="414" customWidth="1"/>
    <col min="519" max="519" width="9.42578125" style="414" customWidth="1"/>
    <col min="520" max="520" width="10.5703125" style="414" customWidth="1"/>
    <col min="521" max="521" width="13.7109375" style="414" customWidth="1"/>
    <col min="522" max="523" width="10.42578125" style="414" customWidth="1"/>
    <col min="524" max="524" width="10.28515625" style="414" customWidth="1"/>
    <col min="525" max="525" width="9.42578125" style="414" customWidth="1"/>
    <col min="526" max="526" width="8.7109375" style="414" customWidth="1"/>
    <col min="527" max="527" width="10.42578125" style="414" customWidth="1"/>
    <col min="528" max="528" width="10.28515625" style="414" customWidth="1"/>
    <col min="529" max="768" width="11.42578125" style="414"/>
    <col min="769" max="769" width="7" style="414" customWidth="1"/>
    <col min="770" max="770" width="10.7109375" style="414" customWidth="1"/>
    <col min="771" max="771" width="10.5703125" style="414" customWidth="1"/>
    <col min="772" max="772" width="10.7109375" style="414" customWidth="1"/>
    <col min="773" max="773" width="10.28515625" style="414" customWidth="1"/>
    <col min="774" max="774" width="10.7109375" style="414" customWidth="1"/>
    <col min="775" max="775" width="9.42578125" style="414" customWidth="1"/>
    <col min="776" max="776" width="10.5703125" style="414" customWidth="1"/>
    <col min="777" max="777" width="13.7109375" style="414" customWidth="1"/>
    <col min="778" max="779" width="10.42578125" style="414" customWidth="1"/>
    <col min="780" max="780" width="10.28515625" style="414" customWidth="1"/>
    <col min="781" max="781" width="9.42578125" style="414" customWidth="1"/>
    <col min="782" max="782" width="8.7109375" style="414" customWidth="1"/>
    <col min="783" max="783" width="10.42578125" style="414" customWidth="1"/>
    <col min="784" max="784" width="10.28515625" style="414" customWidth="1"/>
    <col min="785" max="1024" width="11.42578125" style="414"/>
    <col min="1025" max="1025" width="7" style="414" customWidth="1"/>
    <col min="1026" max="1026" width="10.7109375" style="414" customWidth="1"/>
    <col min="1027" max="1027" width="10.5703125" style="414" customWidth="1"/>
    <col min="1028" max="1028" width="10.7109375" style="414" customWidth="1"/>
    <col min="1029" max="1029" width="10.28515625" style="414" customWidth="1"/>
    <col min="1030" max="1030" width="10.7109375" style="414" customWidth="1"/>
    <col min="1031" max="1031" width="9.42578125" style="414" customWidth="1"/>
    <col min="1032" max="1032" width="10.5703125" style="414" customWidth="1"/>
    <col min="1033" max="1033" width="13.7109375" style="414" customWidth="1"/>
    <col min="1034" max="1035" width="10.42578125" style="414" customWidth="1"/>
    <col min="1036" max="1036" width="10.28515625" style="414" customWidth="1"/>
    <col min="1037" max="1037" width="9.42578125" style="414" customWidth="1"/>
    <col min="1038" max="1038" width="8.7109375" style="414" customWidth="1"/>
    <col min="1039" max="1039" width="10.42578125" style="414" customWidth="1"/>
    <col min="1040" max="1040" width="10.28515625" style="414" customWidth="1"/>
    <col min="1041" max="1280" width="11.42578125" style="414"/>
    <col min="1281" max="1281" width="7" style="414" customWidth="1"/>
    <col min="1282" max="1282" width="10.7109375" style="414" customWidth="1"/>
    <col min="1283" max="1283" width="10.5703125" style="414" customWidth="1"/>
    <col min="1284" max="1284" width="10.7109375" style="414" customWidth="1"/>
    <col min="1285" max="1285" width="10.28515625" style="414" customWidth="1"/>
    <col min="1286" max="1286" width="10.7109375" style="414" customWidth="1"/>
    <col min="1287" max="1287" width="9.42578125" style="414" customWidth="1"/>
    <col min="1288" max="1288" width="10.5703125" style="414" customWidth="1"/>
    <col min="1289" max="1289" width="13.7109375" style="414" customWidth="1"/>
    <col min="1290" max="1291" width="10.42578125" style="414" customWidth="1"/>
    <col min="1292" max="1292" width="10.28515625" style="414" customWidth="1"/>
    <col min="1293" max="1293" width="9.42578125" style="414" customWidth="1"/>
    <col min="1294" max="1294" width="8.7109375" style="414" customWidth="1"/>
    <col min="1295" max="1295" width="10.42578125" style="414" customWidth="1"/>
    <col min="1296" max="1296" width="10.28515625" style="414" customWidth="1"/>
    <col min="1297" max="1536" width="11.42578125" style="414"/>
    <col min="1537" max="1537" width="7" style="414" customWidth="1"/>
    <col min="1538" max="1538" width="10.7109375" style="414" customWidth="1"/>
    <col min="1539" max="1539" width="10.5703125" style="414" customWidth="1"/>
    <col min="1540" max="1540" width="10.7109375" style="414" customWidth="1"/>
    <col min="1541" max="1541" width="10.28515625" style="414" customWidth="1"/>
    <col min="1542" max="1542" width="10.7109375" style="414" customWidth="1"/>
    <col min="1543" max="1543" width="9.42578125" style="414" customWidth="1"/>
    <col min="1544" max="1544" width="10.5703125" style="414" customWidth="1"/>
    <col min="1545" max="1545" width="13.7109375" style="414" customWidth="1"/>
    <col min="1546" max="1547" width="10.42578125" style="414" customWidth="1"/>
    <col min="1548" max="1548" width="10.28515625" style="414" customWidth="1"/>
    <col min="1549" max="1549" width="9.42578125" style="414" customWidth="1"/>
    <col min="1550" max="1550" width="8.7109375" style="414" customWidth="1"/>
    <col min="1551" max="1551" width="10.42578125" style="414" customWidth="1"/>
    <col min="1552" max="1552" width="10.28515625" style="414" customWidth="1"/>
    <col min="1553" max="1792" width="11.42578125" style="414"/>
    <col min="1793" max="1793" width="7" style="414" customWidth="1"/>
    <col min="1794" max="1794" width="10.7109375" style="414" customWidth="1"/>
    <col min="1795" max="1795" width="10.5703125" style="414" customWidth="1"/>
    <col min="1796" max="1796" width="10.7109375" style="414" customWidth="1"/>
    <col min="1797" max="1797" width="10.28515625" style="414" customWidth="1"/>
    <col min="1798" max="1798" width="10.7109375" style="414" customWidth="1"/>
    <col min="1799" max="1799" width="9.42578125" style="414" customWidth="1"/>
    <col min="1800" max="1800" width="10.5703125" style="414" customWidth="1"/>
    <col min="1801" max="1801" width="13.7109375" style="414" customWidth="1"/>
    <col min="1802" max="1803" width="10.42578125" style="414" customWidth="1"/>
    <col min="1804" max="1804" width="10.28515625" style="414" customWidth="1"/>
    <col min="1805" max="1805" width="9.42578125" style="414" customWidth="1"/>
    <col min="1806" max="1806" width="8.7109375" style="414" customWidth="1"/>
    <col min="1807" max="1807" width="10.42578125" style="414" customWidth="1"/>
    <col min="1808" max="1808" width="10.28515625" style="414" customWidth="1"/>
    <col min="1809" max="2048" width="11.42578125" style="414"/>
    <col min="2049" max="2049" width="7" style="414" customWidth="1"/>
    <col min="2050" max="2050" width="10.7109375" style="414" customWidth="1"/>
    <col min="2051" max="2051" width="10.5703125" style="414" customWidth="1"/>
    <col min="2052" max="2052" width="10.7109375" style="414" customWidth="1"/>
    <col min="2053" max="2053" width="10.28515625" style="414" customWidth="1"/>
    <col min="2054" max="2054" width="10.7109375" style="414" customWidth="1"/>
    <col min="2055" max="2055" width="9.42578125" style="414" customWidth="1"/>
    <col min="2056" max="2056" width="10.5703125" style="414" customWidth="1"/>
    <col min="2057" max="2057" width="13.7109375" style="414" customWidth="1"/>
    <col min="2058" max="2059" width="10.42578125" style="414" customWidth="1"/>
    <col min="2060" max="2060" width="10.28515625" style="414" customWidth="1"/>
    <col min="2061" max="2061" width="9.42578125" style="414" customWidth="1"/>
    <col min="2062" max="2062" width="8.7109375" style="414" customWidth="1"/>
    <col min="2063" max="2063" width="10.42578125" style="414" customWidth="1"/>
    <col min="2064" max="2064" width="10.28515625" style="414" customWidth="1"/>
    <col min="2065" max="2304" width="11.42578125" style="414"/>
    <col min="2305" max="2305" width="7" style="414" customWidth="1"/>
    <col min="2306" max="2306" width="10.7109375" style="414" customWidth="1"/>
    <col min="2307" max="2307" width="10.5703125" style="414" customWidth="1"/>
    <col min="2308" max="2308" width="10.7109375" style="414" customWidth="1"/>
    <col min="2309" max="2309" width="10.28515625" style="414" customWidth="1"/>
    <col min="2310" max="2310" width="10.7109375" style="414" customWidth="1"/>
    <col min="2311" max="2311" width="9.42578125" style="414" customWidth="1"/>
    <col min="2312" max="2312" width="10.5703125" style="414" customWidth="1"/>
    <col min="2313" max="2313" width="13.7109375" style="414" customWidth="1"/>
    <col min="2314" max="2315" width="10.42578125" style="414" customWidth="1"/>
    <col min="2316" max="2316" width="10.28515625" style="414" customWidth="1"/>
    <col min="2317" max="2317" width="9.42578125" style="414" customWidth="1"/>
    <col min="2318" max="2318" width="8.7109375" style="414" customWidth="1"/>
    <col min="2319" max="2319" width="10.42578125" style="414" customWidth="1"/>
    <col min="2320" max="2320" width="10.28515625" style="414" customWidth="1"/>
    <col min="2321" max="2560" width="11.42578125" style="414"/>
    <col min="2561" max="2561" width="7" style="414" customWidth="1"/>
    <col min="2562" max="2562" width="10.7109375" style="414" customWidth="1"/>
    <col min="2563" max="2563" width="10.5703125" style="414" customWidth="1"/>
    <col min="2564" max="2564" width="10.7109375" style="414" customWidth="1"/>
    <col min="2565" max="2565" width="10.28515625" style="414" customWidth="1"/>
    <col min="2566" max="2566" width="10.7109375" style="414" customWidth="1"/>
    <col min="2567" max="2567" width="9.42578125" style="414" customWidth="1"/>
    <col min="2568" max="2568" width="10.5703125" style="414" customWidth="1"/>
    <col min="2569" max="2569" width="13.7109375" style="414" customWidth="1"/>
    <col min="2570" max="2571" width="10.42578125" style="414" customWidth="1"/>
    <col min="2572" max="2572" width="10.28515625" style="414" customWidth="1"/>
    <col min="2573" max="2573" width="9.42578125" style="414" customWidth="1"/>
    <col min="2574" max="2574" width="8.7109375" style="414" customWidth="1"/>
    <col min="2575" max="2575" width="10.42578125" style="414" customWidth="1"/>
    <col min="2576" max="2576" width="10.28515625" style="414" customWidth="1"/>
    <col min="2577" max="2816" width="11.42578125" style="414"/>
    <col min="2817" max="2817" width="7" style="414" customWidth="1"/>
    <col min="2818" max="2818" width="10.7109375" style="414" customWidth="1"/>
    <col min="2819" max="2819" width="10.5703125" style="414" customWidth="1"/>
    <col min="2820" max="2820" width="10.7109375" style="414" customWidth="1"/>
    <col min="2821" max="2821" width="10.28515625" style="414" customWidth="1"/>
    <col min="2822" max="2822" width="10.7109375" style="414" customWidth="1"/>
    <col min="2823" max="2823" width="9.42578125" style="414" customWidth="1"/>
    <col min="2824" max="2824" width="10.5703125" style="414" customWidth="1"/>
    <col min="2825" max="2825" width="13.7109375" style="414" customWidth="1"/>
    <col min="2826" max="2827" width="10.42578125" style="414" customWidth="1"/>
    <col min="2828" max="2828" width="10.28515625" style="414" customWidth="1"/>
    <col min="2829" max="2829" width="9.42578125" style="414" customWidth="1"/>
    <col min="2830" max="2830" width="8.7109375" style="414" customWidth="1"/>
    <col min="2831" max="2831" width="10.42578125" style="414" customWidth="1"/>
    <col min="2832" max="2832" width="10.28515625" style="414" customWidth="1"/>
    <col min="2833" max="3072" width="11.42578125" style="414"/>
    <col min="3073" max="3073" width="7" style="414" customWidth="1"/>
    <col min="3074" max="3074" width="10.7109375" style="414" customWidth="1"/>
    <col min="3075" max="3075" width="10.5703125" style="414" customWidth="1"/>
    <col min="3076" max="3076" width="10.7109375" style="414" customWidth="1"/>
    <col min="3077" max="3077" width="10.28515625" style="414" customWidth="1"/>
    <col min="3078" max="3078" width="10.7109375" style="414" customWidth="1"/>
    <col min="3079" max="3079" width="9.42578125" style="414" customWidth="1"/>
    <col min="3080" max="3080" width="10.5703125" style="414" customWidth="1"/>
    <col min="3081" max="3081" width="13.7109375" style="414" customWidth="1"/>
    <col min="3082" max="3083" width="10.42578125" style="414" customWidth="1"/>
    <col min="3084" max="3084" width="10.28515625" style="414" customWidth="1"/>
    <col min="3085" max="3085" width="9.42578125" style="414" customWidth="1"/>
    <col min="3086" max="3086" width="8.7109375" style="414" customWidth="1"/>
    <col min="3087" max="3087" width="10.42578125" style="414" customWidth="1"/>
    <col min="3088" max="3088" width="10.28515625" style="414" customWidth="1"/>
    <col min="3089" max="3328" width="11.42578125" style="414"/>
    <col min="3329" max="3329" width="7" style="414" customWidth="1"/>
    <col min="3330" max="3330" width="10.7109375" style="414" customWidth="1"/>
    <col min="3331" max="3331" width="10.5703125" style="414" customWidth="1"/>
    <col min="3332" max="3332" width="10.7109375" style="414" customWidth="1"/>
    <col min="3333" max="3333" width="10.28515625" style="414" customWidth="1"/>
    <col min="3334" max="3334" width="10.7109375" style="414" customWidth="1"/>
    <col min="3335" max="3335" width="9.42578125" style="414" customWidth="1"/>
    <col min="3336" max="3336" width="10.5703125" style="414" customWidth="1"/>
    <col min="3337" max="3337" width="13.7109375" style="414" customWidth="1"/>
    <col min="3338" max="3339" width="10.42578125" style="414" customWidth="1"/>
    <col min="3340" max="3340" width="10.28515625" style="414" customWidth="1"/>
    <col min="3341" max="3341" width="9.42578125" style="414" customWidth="1"/>
    <col min="3342" max="3342" width="8.7109375" style="414" customWidth="1"/>
    <col min="3343" max="3343" width="10.42578125" style="414" customWidth="1"/>
    <col min="3344" max="3344" width="10.28515625" style="414" customWidth="1"/>
    <col min="3345" max="3584" width="11.42578125" style="414"/>
    <col min="3585" max="3585" width="7" style="414" customWidth="1"/>
    <col min="3586" max="3586" width="10.7109375" style="414" customWidth="1"/>
    <col min="3587" max="3587" width="10.5703125" style="414" customWidth="1"/>
    <col min="3588" max="3588" width="10.7109375" style="414" customWidth="1"/>
    <col min="3589" max="3589" width="10.28515625" style="414" customWidth="1"/>
    <col min="3590" max="3590" width="10.7109375" style="414" customWidth="1"/>
    <col min="3591" max="3591" width="9.42578125" style="414" customWidth="1"/>
    <col min="3592" max="3592" width="10.5703125" style="414" customWidth="1"/>
    <col min="3593" max="3593" width="13.7109375" style="414" customWidth="1"/>
    <col min="3594" max="3595" width="10.42578125" style="414" customWidth="1"/>
    <col min="3596" max="3596" width="10.28515625" style="414" customWidth="1"/>
    <col min="3597" max="3597" width="9.42578125" style="414" customWidth="1"/>
    <col min="3598" max="3598" width="8.7109375" style="414" customWidth="1"/>
    <col min="3599" max="3599" width="10.42578125" style="414" customWidth="1"/>
    <col min="3600" max="3600" width="10.28515625" style="414" customWidth="1"/>
    <col min="3601" max="3840" width="11.42578125" style="414"/>
    <col min="3841" max="3841" width="7" style="414" customWidth="1"/>
    <col min="3842" max="3842" width="10.7109375" style="414" customWidth="1"/>
    <col min="3843" max="3843" width="10.5703125" style="414" customWidth="1"/>
    <col min="3844" max="3844" width="10.7109375" style="414" customWidth="1"/>
    <col min="3845" max="3845" width="10.28515625" style="414" customWidth="1"/>
    <col min="3846" max="3846" width="10.7109375" style="414" customWidth="1"/>
    <col min="3847" max="3847" width="9.42578125" style="414" customWidth="1"/>
    <col min="3848" max="3848" width="10.5703125" style="414" customWidth="1"/>
    <col min="3849" max="3849" width="13.7109375" style="414" customWidth="1"/>
    <col min="3850" max="3851" width="10.42578125" style="414" customWidth="1"/>
    <col min="3852" max="3852" width="10.28515625" style="414" customWidth="1"/>
    <col min="3853" max="3853" width="9.42578125" style="414" customWidth="1"/>
    <col min="3854" max="3854" width="8.7109375" style="414" customWidth="1"/>
    <col min="3855" max="3855" width="10.42578125" style="414" customWidth="1"/>
    <col min="3856" max="3856" width="10.28515625" style="414" customWidth="1"/>
    <col min="3857" max="4096" width="11.42578125" style="414"/>
    <col min="4097" max="4097" width="7" style="414" customWidth="1"/>
    <col min="4098" max="4098" width="10.7109375" style="414" customWidth="1"/>
    <col min="4099" max="4099" width="10.5703125" style="414" customWidth="1"/>
    <col min="4100" max="4100" width="10.7109375" style="414" customWidth="1"/>
    <col min="4101" max="4101" width="10.28515625" style="414" customWidth="1"/>
    <col min="4102" max="4102" width="10.7109375" style="414" customWidth="1"/>
    <col min="4103" max="4103" width="9.42578125" style="414" customWidth="1"/>
    <col min="4104" max="4104" width="10.5703125" style="414" customWidth="1"/>
    <col min="4105" max="4105" width="13.7109375" style="414" customWidth="1"/>
    <col min="4106" max="4107" width="10.42578125" style="414" customWidth="1"/>
    <col min="4108" max="4108" width="10.28515625" style="414" customWidth="1"/>
    <col min="4109" max="4109" width="9.42578125" style="414" customWidth="1"/>
    <col min="4110" max="4110" width="8.7109375" style="414" customWidth="1"/>
    <col min="4111" max="4111" width="10.42578125" style="414" customWidth="1"/>
    <col min="4112" max="4112" width="10.28515625" style="414" customWidth="1"/>
    <col min="4113" max="4352" width="11.42578125" style="414"/>
    <col min="4353" max="4353" width="7" style="414" customWidth="1"/>
    <col min="4354" max="4354" width="10.7109375" style="414" customWidth="1"/>
    <col min="4355" max="4355" width="10.5703125" style="414" customWidth="1"/>
    <col min="4356" max="4356" width="10.7109375" style="414" customWidth="1"/>
    <col min="4357" max="4357" width="10.28515625" style="414" customWidth="1"/>
    <col min="4358" max="4358" width="10.7109375" style="414" customWidth="1"/>
    <col min="4359" max="4359" width="9.42578125" style="414" customWidth="1"/>
    <col min="4360" max="4360" width="10.5703125" style="414" customWidth="1"/>
    <col min="4361" max="4361" width="13.7109375" style="414" customWidth="1"/>
    <col min="4362" max="4363" width="10.42578125" style="414" customWidth="1"/>
    <col min="4364" max="4364" width="10.28515625" style="414" customWidth="1"/>
    <col min="4365" max="4365" width="9.42578125" style="414" customWidth="1"/>
    <col min="4366" max="4366" width="8.7109375" style="414" customWidth="1"/>
    <col min="4367" max="4367" width="10.42578125" style="414" customWidth="1"/>
    <col min="4368" max="4368" width="10.28515625" style="414" customWidth="1"/>
    <col min="4369" max="4608" width="11.42578125" style="414"/>
    <col min="4609" max="4609" width="7" style="414" customWidth="1"/>
    <col min="4610" max="4610" width="10.7109375" style="414" customWidth="1"/>
    <col min="4611" max="4611" width="10.5703125" style="414" customWidth="1"/>
    <col min="4612" max="4612" width="10.7109375" style="414" customWidth="1"/>
    <col min="4613" max="4613" width="10.28515625" style="414" customWidth="1"/>
    <col min="4614" max="4614" width="10.7109375" style="414" customWidth="1"/>
    <col min="4615" max="4615" width="9.42578125" style="414" customWidth="1"/>
    <col min="4616" max="4616" width="10.5703125" style="414" customWidth="1"/>
    <col min="4617" max="4617" width="13.7109375" style="414" customWidth="1"/>
    <col min="4618" max="4619" width="10.42578125" style="414" customWidth="1"/>
    <col min="4620" max="4620" width="10.28515625" style="414" customWidth="1"/>
    <col min="4621" max="4621" width="9.42578125" style="414" customWidth="1"/>
    <col min="4622" max="4622" width="8.7109375" style="414" customWidth="1"/>
    <col min="4623" max="4623" width="10.42578125" style="414" customWidth="1"/>
    <col min="4624" max="4624" width="10.28515625" style="414" customWidth="1"/>
    <col min="4625" max="4864" width="11.42578125" style="414"/>
    <col min="4865" max="4865" width="7" style="414" customWidth="1"/>
    <col min="4866" max="4866" width="10.7109375" style="414" customWidth="1"/>
    <col min="4867" max="4867" width="10.5703125" style="414" customWidth="1"/>
    <col min="4868" max="4868" width="10.7109375" style="414" customWidth="1"/>
    <col min="4869" max="4869" width="10.28515625" style="414" customWidth="1"/>
    <col min="4870" max="4870" width="10.7109375" style="414" customWidth="1"/>
    <col min="4871" max="4871" width="9.42578125" style="414" customWidth="1"/>
    <col min="4872" max="4872" width="10.5703125" style="414" customWidth="1"/>
    <col min="4873" max="4873" width="13.7109375" style="414" customWidth="1"/>
    <col min="4874" max="4875" width="10.42578125" style="414" customWidth="1"/>
    <col min="4876" max="4876" width="10.28515625" style="414" customWidth="1"/>
    <col min="4877" max="4877" width="9.42578125" style="414" customWidth="1"/>
    <col min="4878" max="4878" width="8.7109375" style="414" customWidth="1"/>
    <col min="4879" max="4879" width="10.42578125" style="414" customWidth="1"/>
    <col min="4880" max="4880" width="10.28515625" style="414" customWidth="1"/>
    <col min="4881" max="5120" width="11.42578125" style="414"/>
    <col min="5121" max="5121" width="7" style="414" customWidth="1"/>
    <col min="5122" max="5122" width="10.7109375" style="414" customWidth="1"/>
    <col min="5123" max="5123" width="10.5703125" style="414" customWidth="1"/>
    <col min="5124" max="5124" width="10.7109375" style="414" customWidth="1"/>
    <col min="5125" max="5125" width="10.28515625" style="414" customWidth="1"/>
    <col min="5126" max="5126" width="10.7109375" style="414" customWidth="1"/>
    <col min="5127" max="5127" width="9.42578125" style="414" customWidth="1"/>
    <col min="5128" max="5128" width="10.5703125" style="414" customWidth="1"/>
    <col min="5129" max="5129" width="13.7109375" style="414" customWidth="1"/>
    <col min="5130" max="5131" width="10.42578125" style="414" customWidth="1"/>
    <col min="5132" max="5132" width="10.28515625" style="414" customWidth="1"/>
    <col min="5133" max="5133" width="9.42578125" style="414" customWidth="1"/>
    <col min="5134" max="5134" width="8.7109375" style="414" customWidth="1"/>
    <col min="5135" max="5135" width="10.42578125" style="414" customWidth="1"/>
    <col min="5136" max="5136" width="10.28515625" style="414" customWidth="1"/>
    <col min="5137" max="5376" width="11.42578125" style="414"/>
    <col min="5377" max="5377" width="7" style="414" customWidth="1"/>
    <col min="5378" max="5378" width="10.7109375" style="414" customWidth="1"/>
    <col min="5379" max="5379" width="10.5703125" style="414" customWidth="1"/>
    <col min="5380" max="5380" width="10.7109375" style="414" customWidth="1"/>
    <col min="5381" max="5381" width="10.28515625" style="414" customWidth="1"/>
    <col min="5382" max="5382" width="10.7109375" style="414" customWidth="1"/>
    <col min="5383" max="5383" width="9.42578125" style="414" customWidth="1"/>
    <col min="5384" max="5384" width="10.5703125" style="414" customWidth="1"/>
    <col min="5385" max="5385" width="13.7109375" style="414" customWidth="1"/>
    <col min="5386" max="5387" width="10.42578125" style="414" customWidth="1"/>
    <col min="5388" max="5388" width="10.28515625" style="414" customWidth="1"/>
    <col min="5389" max="5389" width="9.42578125" style="414" customWidth="1"/>
    <col min="5390" max="5390" width="8.7109375" style="414" customWidth="1"/>
    <col min="5391" max="5391" width="10.42578125" style="414" customWidth="1"/>
    <col min="5392" max="5392" width="10.28515625" style="414" customWidth="1"/>
    <col min="5393" max="5632" width="11.42578125" style="414"/>
    <col min="5633" max="5633" width="7" style="414" customWidth="1"/>
    <col min="5634" max="5634" width="10.7109375" style="414" customWidth="1"/>
    <col min="5635" max="5635" width="10.5703125" style="414" customWidth="1"/>
    <col min="5636" max="5636" width="10.7109375" style="414" customWidth="1"/>
    <col min="5637" max="5637" width="10.28515625" style="414" customWidth="1"/>
    <col min="5638" max="5638" width="10.7109375" style="414" customWidth="1"/>
    <col min="5639" max="5639" width="9.42578125" style="414" customWidth="1"/>
    <col min="5640" max="5640" width="10.5703125" style="414" customWidth="1"/>
    <col min="5641" max="5641" width="13.7109375" style="414" customWidth="1"/>
    <col min="5642" max="5643" width="10.42578125" style="414" customWidth="1"/>
    <col min="5644" max="5644" width="10.28515625" style="414" customWidth="1"/>
    <col min="5645" max="5645" width="9.42578125" style="414" customWidth="1"/>
    <col min="5646" max="5646" width="8.7109375" style="414" customWidth="1"/>
    <col min="5647" max="5647" width="10.42578125" style="414" customWidth="1"/>
    <col min="5648" max="5648" width="10.28515625" style="414" customWidth="1"/>
    <col min="5649" max="5888" width="11.42578125" style="414"/>
    <col min="5889" max="5889" width="7" style="414" customWidth="1"/>
    <col min="5890" max="5890" width="10.7109375" style="414" customWidth="1"/>
    <col min="5891" max="5891" width="10.5703125" style="414" customWidth="1"/>
    <col min="5892" max="5892" width="10.7109375" style="414" customWidth="1"/>
    <col min="5893" max="5893" width="10.28515625" style="414" customWidth="1"/>
    <col min="5894" max="5894" width="10.7109375" style="414" customWidth="1"/>
    <col min="5895" max="5895" width="9.42578125" style="414" customWidth="1"/>
    <col min="5896" max="5896" width="10.5703125" style="414" customWidth="1"/>
    <col min="5897" max="5897" width="13.7109375" style="414" customWidth="1"/>
    <col min="5898" max="5899" width="10.42578125" style="414" customWidth="1"/>
    <col min="5900" max="5900" width="10.28515625" style="414" customWidth="1"/>
    <col min="5901" max="5901" width="9.42578125" style="414" customWidth="1"/>
    <col min="5902" max="5902" width="8.7109375" style="414" customWidth="1"/>
    <col min="5903" max="5903" width="10.42578125" style="414" customWidth="1"/>
    <col min="5904" max="5904" width="10.28515625" style="414" customWidth="1"/>
    <col min="5905" max="6144" width="11.42578125" style="414"/>
    <col min="6145" max="6145" width="7" style="414" customWidth="1"/>
    <col min="6146" max="6146" width="10.7109375" style="414" customWidth="1"/>
    <col min="6147" max="6147" width="10.5703125" style="414" customWidth="1"/>
    <col min="6148" max="6148" width="10.7109375" style="414" customWidth="1"/>
    <col min="6149" max="6149" width="10.28515625" style="414" customWidth="1"/>
    <col min="6150" max="6150" width="10.7109375" style="414" customWidth="1"/>
    <col min="6151" max="6151" width="9.42578125" style="414" customWidth="1"/>
    <col min="6152" max="6152" width="10.5703125" style="414" customWidth="1"/>
    <col min="6153" max="6153" width="13.7109375" style="414" customWidth="1"/>
    <col min="6154" max="6155" width="10.42578125" style="414" customWidth="1"/>
    <col min="6156" max="6156" width="10.28515625" style="414" customWidth="1"/>
    <col min="6157" max="6157" width="9.42578125" style="414" customWidth="1"/>
    <col min="6158" max="6158" width="8.7109375" style="414" customWidth="1"/>
    <col min="6159" max="6159" width="10.42578125" style="414" customWidth="1"/>
    <col min="6160" max="6160" width="10.28515625" style="414" customWidth="1"/>
    <col min="6161" max="6400" width="11.42578125" style="414"/>
    <col min="6401" max="6401" width="7" style="414" customWidth="1"/>
    <col min="6402" max="6402" width="10.7109375" style="414" customWidth="1"/>
    <col min="6403" max="6403" width="10.5703125" style="414" customWidth="1"/>
    <col min="6404" max="6404" width="10.7109375" style="414" customWidth="1"/>
    <col min="6405" max="6405" width="10.28515625" style="414" customWidth="1"/>
    <col min="6406" max="6406" width="10.7109375" style="414" customWidth="1"/>
    <col min="6407" max="6407" width="9.42578125" style="414" customWidth="1"/>
    <col min="6408" max="6408" width="10.5703125" style="414" customWidth="1"/>
    <col min="6409" max="6409" width="13.7109375" style="414" customWidth="1"/>
    <col min="6410" max="6411" width="10.42578125" style="414" customWidth="1"/>
    <col min="6412" max="6412" width="10.28515625" style="414" customWidth="1"/>
    <col min="6413" max="6413" width="9.42578125" style="414" customWidth="1"/>
    <col min="6414" max="6414" width="8.7109375" style="414" customWidth="1"/>
    <col min="6415" max="6415" width="10.42578125" style="414" customWidth="1"/>
    <col min="6416" max="6416" width="10.28515625" style="414" customWidth="1"/>
    <col min="6417" max="6656" width="11.42578125" style="414"/>
    <col min="6657" max="6657" width="7" style="414" customWidth="1"/>
    <col min="6658" max="6658" width="10.7109375" style="414" customWidth="1"/>
    <col min="6659" max="6659" width="10.5703125" style="414" customWidth="1"/>
    <col min="6660" max="6660" width="10.7109375" style="414" customWidth="1"/>
    <col min="6661" max="6661" width="10.28515625" style="414" customWidth="1"/>
    <col min="6662" max="6662" width="10.7109375" style="414" customWidth="1"/>
    <col min="6663" max="6663" width="9.42578125" style="414" customWidth="1"/>
    <col min="6664" max="6664" width="10.5703125" style="414" customWidth="1"/>
    <col min="6665" max="6665" width="13.7109375" style="414" customWidth="1"/>
    <col min="6666" max="6667" width="10.42578125" style="414" customWidth="1"/>
    <col min="6668" max="6668" width="10.28515625" style="414" customWidth="1"/>
    <col min="6669" max="6669" width="9.42578125" style="414" customWidth="1"/>
    <col min="6670" max="6670" width="8.7109375" style="414" customWidth="1"/>
    <col min="6671" max="6671" width="10.42578125" style="414" customWidth="1"/>
    <col min="6672" max="6672" width="10.28515625" style="414" customWidth="1"/>
    <col min="6673" max="6912" width="11.42578125" style="414"/>
    <col min="6913" max="6913" width="7" style="414" customWidth="1"/>
    <col min="6914" max="6914" width="10.7109375" style="414" customWidth="1"/>
    <col min="6915" max="6915" width="10.5703125" style="414" customWidth="1"/>
    <col min="6916" max="6916" width="10.7109375" style="414" customWidth="1"/>
    <col min="6917" max="6917" width="10.28515625" style="414" customWidth="1"/>
    <col min="6918" max="6918" width="10.7109375" style="414" customWidth="1"/>
    <col min="6919" max="6919" width="9.42578125" style="414" customWidth="1"/>
    <col min="6920" max="6920" width="10.5703125" style="414" customWidth="1"/>
    <col min="6921" max="6921" width="13.7109375" style="414" customWidth="1"/>
    <col min="6922" max="6923" width="10.42578125" style="414" customWidth="1"/>
    <col min="6924" max="6924" width="10.28515625" style="414" customWidth="1"/>
    <col min="6925" max="6925" width="9.42578125" style="414" customWidth="1"/>
    <col min="6926" max="6926" width="8.7109375" style="414" customWidth="1"/>
    <col min="6927" max="6927" width="10.42578125" style="414" customWidth="1"/>
    <col min="6928" max="6928" width="10.28515625" style="414" customWidth="1"/>
    <col min="6929" max="7168" width="11.42578125" style="414"/>
    <col min="7169" max="7169" width="7" style="414" customWidth="1"/>
    <col min="7170" max="7170" width="10.7109375" style="414" customWidth="1"/>
    <col min="7171" max="7171" width="10.5703125" style="414" customWidth="1"/>
    <col min="7172" max="7172" width="10.7109375" style="414" customWidth="1"/>
    <col min="7173" max="7173" width="10.28515625" style="414" customWidth="1"/>
    <col min="7174" max="7174" width="10.7109375" style="414" customWidth="1"/>
    <col min="7175" max="7175" width="9.42578125" style="414" customWidth="1"/>
    <col min="7176" max="7176" width="10.5703125" style="414" customWidth="1"/>
    <col min="7177" max="7177" width="13.7109375" style="414" customWidth="1"/>
    <col min="7178" max="7179" width="10.42578125" style="414" customWidth="1"/>
    <col min="7180" max="7180" width="10.28515625" style="414" customWidth="1"/>
    <col min="7181" max="7181" width="9.42578125" style="414" customWidth="1"/>
    <col min="7182" max="7182" width="8.7109375" style="414" customWidth="1"/>
    <col min="7183" max="7183" width="10.42578125" style="414" customWidth="1"/>
    <col min="7184" max="7184" width="10.28515625" style="414" customWidth="1"/>
    <col min="7185" max="7424" width="11.42578125" style="414"/>
    <col min="7425" max="7425" width="7" style="414" customWidth="1"/>
    <col min="7426" max="7426" width="10.7109375" style="414" customWidth="1"/>
    <col min="7427" max="7427" width="10.5703125" style="414" customWidth="1"/>
    <col min="7428" max="7428" width="10.7109375" style="414" customWidth="1"/>
    <col min="7429" max="7429" width="10.28515625" style="414" customWidth="1"/>
    <col min="7430" max="7430" width="10.7109375" style="414" customWidth="1"/>
    <col min="7431" max="7431" width="9.42578125" style="414" customWidth="1"/>
    <col min="7432" max="7432" width="10.5703125" style="414" customWidth="1"/>
    <col min="7433" max="7433" width="13.7109375" style="414" customWidth="1"/>
    <col min="7434" max="7435" width="10.42578125" style="414" customWidth="1"/>
    <col min="7436" max="7436" width="10.28515625" style="414" customWidth="1"/>
    <col min="7437" max="7437" width="9.42578125" style="414" customWidth="1"/>
    <col min="7438" max="7438" width="8.7109375" style="414" customWidth="1"/>
    <col min="7439" max="7439" width="10.42578125" style="414" customWidth="1"/>
    <col min="7440" max="7440" width="10.28515625" style="414" customWidth="1"/>
    <col min="7441" max="7680" width="11.42578125" style="414"/>
    <col min="7681" max="7681" width="7" style="414" customWidth="1"/>
    <col min="7682" max="7682" width="10.7109375" style="414" customWidth="1"/>
    <col min="7683" max="7683" width="10.5703125" style="414" customWidth="1"/>
    <col min="7684" max="7684" width="10.7109375" style="414" customWidth="1"/>
    <col min="7685" max="7685" width="10.28515625" style="414" customWidth="1"/>
    <col min="7686" max="7686" width="10.7109375" style="414" customWidth="1"/>
    <col min="7687" max="7687" width="9.42578125" style="414" customWidth="1"/>
    <col min="7688" max="7688" width="10.5703125" style="414" customWidth="1"/>
    <col min="7689" max="7689" width="13.7109375" style="414" customWidth="1"/>
    <col min="7690" max="7691" width="10.42578125" style="414" customWidth="1"/>
    <col min="7692" max="7692" width="10.28515625" style="414" customWidth="1"/>
    <col min="7693" max="7693" width="9.42578125" style="414" customWidth="1"/>
    <col min="7694" max="7694" width="8.7109375" style="414" customWidth="1"/>
    <col min="7695" max="7695" width="10.42578125" style="414" customWidth="1"/>
    <col min="7696" max="7696" width="10.28515625" style="414" customWidth="1"/>
    <col min="7697" max="7936" width="11.42578125" style="414"/>
    <col min="7937" max="7937" width="7" style="414" customWidth="1"/>
    <col min="7938" max="7938" width="10.7109375" style="414" customWidth="1"/>
    <col min="7939" max="7939" width="10.5703125" style="414" customWidth="1"/>
    <col min="7940" max="7940" width="10.7109375" style="414" customWidth="1"/>
    <col min="7941" max="7941" width="10.28515625" style="414" customWidth="1"/>
    <col min="7942" max="7942" width="10.7109375" style="414" customWidth="1"/>
    <col min="7943" max="7943" width="9.42578125" style="414" customWidth="1"/>
    <col min="7944" max="7944" width="10.5703125" style="414" customWidth="1"/>
    <col min="7945" max="7945" width="13.7109375" style="414" customWidth="1"/>
    <col min="7946" max="7947" width="10.42578125" style="414" customWidth="1"/>
    <col min="7948" max="7948" width="10.28515625" style="414" customWidth="1"/>
    <col min="7949" max="7949" width="9.42578125" style="414" customWidth="1"/>
    <col min="7950" max="7950" width="8.7109375" style="414" customWidth="1"/>
    <col min="7951" max="7951" width="10.42578125" style="414" customWidth="1"/>
    <col min="7952" max="7952" width="10.28515625" style="414" customWidth="1"/>
    <col min="7953" max="8192" width="11.42578125" style="414"/>
    <col min="8193" max="8193" width="7" style="414" customWidth="1"/>
    <col min="8194" max="8194" width="10.7109375" style="414" customWidth="1"/>
    <col min="8195" max="8195" width="10.5703125" style="414" customWidth="1"/>
    <col min="8196" max="8196" width="10.7109375" style="414" customWidth="1"/>
    <col min="8197" max="8197" width="10.28515625" style="414" customWidth="1"/>
    <col min="8198" max="8198" width="10.7109375" style="414" customWidth="1"/>
    <col min="8199" max="8199" width="9.42578125" style="414" customWidth="1"/>
    <col min="8200" max="8200" width="10.5703125" style="414" customWidth="1"/>
    <col min="8201" max="8201" width="13.7109375" style="414" customWidth="1"/>
    <col min="8202" max="8203" width="10.42578125" style="414" customWidth="1"/>
    <col min="8204" max="8204" width="10.28515625" style="414" customWidth="1"/>
    <col min="8205" max="8205" width="9.42578125" style="414" customWidth="1"/>
    <col min="8206" max="8206" width="8.7109375" style="414" customWidth="1"/>
    <col min="8207" max="8207" width="10.42578125" style="414" customWidth="1"/>
    <col min="8208" max="8208" width="10.28515625" style="414" customWidth="1"/>
    <col min="8209" max="8448" width="11.42578125" style="414"/>
    <col min="8449" max="8449" width="7" style="414" customWidth="1"/>
    <col min="8450" max="8450" width="10.7109375" style="414" customWidth="1"/>
    <col min="8451" max="8451" width="10.5703125" style="414" customWidth="1"/>
    <col min="8452" max="8452" width="10.7109375" style="414" customWidth="1"/>
    <col min="8453" max="8453" width="10.28515625" style="414" customWidth="1"/>
    <col min="8454" max="8454" width="10.7109375" style="414" customWidth="1"/>
    <col min="8455" max="8455" width="9.42578125" style="414" customWidth="1"/>
    <col min="8456" max="8456" width="10.5703125" style="414" customWidth="1"/>
    <col min="8457" max="8457" width="13.7109375" style="414" customWidth="1"/>
    <col min="8458" max="8459" width="10.42578125" style="414" customWidth="1"/>
    <col min="8460" max="8460" width="10.28515625" style="414" customWidth="1"/>
    <col min="8461" max="8461" width="9.42578125" style="414" customWidth="1"/>
    <col min="8462" max="8462" width="8.7109375" style="414" customWidth="1"/>
    <col min="8463" max="8463" width="10.42578125" style="414" customWidth="1"/>
    <col min="8464" max="8464" width="10.28515625" style="414" customWidth="1"/>
    <col min="8465" max="8704" width="11.42578125" style="414"/>
    <col min="8705" max="8705" width="7" style="414" customWidth="1"/>
    <col min="8706" max="8706" width="10.7109375" style="414" customWidth="1"/>
    <col min="8707" max="8707" width="10.5703125" style="414" customWidth="1"/>
    <col min="8708" max="8708" width="10.7109375" style="414" customWidth="1"/>
    <col min="8709" max="8709" width="10.28515625" style="414" customWidth="1"/>
    <col min="8710" max="8710" width="10.7109375" style="414" customWidth="1"/>
    <col min="8711" max="8711" width="9.42578125" style="414" customWidth="1"/>
    <col min="8712" max="8712" width="10.5703125" style="414" customWidth="1"/>
    <col min="8713" max="8713" width="13.7109375" style="414" customWidth="1"/>
    <col min="8714" max="8715" width="10.42578125" style="414" customWidth="1"/>
    <col min="8716" max="8716" width="10.28515625" style="414" customWidth="1"/>
    <col min="8717" max="8717" width="9.42578125" style="414" customWidth="1"/>
    <col min="8718" max="8718" width="8.7109375" style="414" customWidth="1"/>
    <col min="8719" max="8719" width="10.42578125" style="414" customWidth="1"/>
    <col min="8720" max="8720" width="10.28515625" style="414" customWidth="1"/>
    <col min="8721" max="8960" width="11.42578125" style="414"/>
    <col min="8961" max="8961" width="7" style="414" customWidth="1"/>
    <col min="8962" max="8962" width="10.7109375" style="414" customWidth="1"/>
    <col min="8963" max="8963" width="10.5703125" style="414" customWidth="1"/>
    <col min="8964" max="8964" width="10.7109375" style="414" customWidth="1"/>
    <col min="8965" max="8965" width="10.28515625" style="414" customWidth="1"/>
    <col min="8966" max="8966" width="10.7109375" style="414" customWidth="1"/>
    <col min="8967" max="8967" width="9.42578125" style="414" customWidth="1"/>
    <col min="8968" max="8968" width="10.5703125" style="414" customWidth="1"/>
    <col min="8969" max="8969" width="13.7109375" style="414" customWidth="1"/>
    <col min="8970" max="8971" width="10.42578125" style="414" customWidth="1"/>
    <col min="8972" max="8972" width="10.28515625" style="414" customWidth="1"/>
    <col min="8973" max="8973" width="9.42578125" style="414" customWidth="1"/>
    <col min="8974" max="8974" width="8.7109375" style="414" customWidth="1"/>
    <col min="8975" max="8975" width="10.42578125" style="414" customWidth="1"/>
    <col min="8976" max="8976" width="10.28515625" style="414" customWidth="1"/>
    <col min="8977" max="9216" width="11.42578125" style="414"/>
    <col min="9217" max="9217" width="7" style="414" customWidth="1"/>
    <col min="9218" max="9218" width="10.7109375" style="414" customWidth="1"/>
    <col min="9219" max="9219" width="10.5703125" style="414" customWidth="1"/>
    <col min="9220" max="9220" width="10.7109375" style="414" customWidth="1"/>
    <col min="9221" max="9221" width="10.28515625" style="414" customWidth="1"/>
    <col min="9222" max="9222" width="10.7109375" style="414" customWidth="1"/>
    <col min="9223" max="9223" width="9.42578125" style="414" customWidth="1"/>
    <col min="9224" max="9224" width="10.5703125" style="414" customWidth="1"/>
    <col min="9225" max="9225" width="13.7109375" style="414" customWidth="1"/>
    <col min="9226" max="9227" width="10.42578125" style="414" customWidth="1"/>
    <col min="9228" max="9228" width="10.28515625" style="414" customWidth="1"/>
    <col min="9229" max="9229" width="9.42578125" style="414" customWidth="1"/>
    <col min="9230" max="9230" width="8.7109375" style="414" customWidth="1"/>
    <col min="9231" max="9231" width="10.42578125" style="414" customWidth="1"/>
    <col min="9232" max="9232" width="10.28515625" style="414" customWidth="1"/>
    <col min="9233" max="9472" width="11.42578125" style="414"/>
    <col min="9473" max="9473" width="7" style="414" customWidth="1"/>
    <col min="9474" max="9474" width="10.7109375" style="414" customWidth="1"/>
    <col min="9475" max="9475" width="10.5703125" style="414" customWidth="1"/>
    <col min="9476" max="9476" width="10.7109375" style="414" customWidth="1"/>
    <col min="9477" max="9477" width="10.28515625" style="414" customWidth="1"/>
    <col min="9478" max="9478" width="10.7109375" style="414" customWidth="1"/>
    <col min="9479" max="9479" width="9.42578125" style="414" customWidth="1"/>
    <col min="9480" max="9480" width="10.5703125" style="414" customWidth="1"/>
    <col min="9481" max="9481" width="13.7109375" style="414" customWidth="1"/>
    <col min="9482" max="9483" width="10.42578125" style="414" customWidth="1"/>
    <col min="9484" max="9484" width="10.28515625" style="414" customWidth="1"/>
    <col min="9485" max="9485" width="9.42578125" style="414" customWidth="1"/>
    <col min="9486" max="9486" width="8.7109375" style="414" customWidth="1"/>
    <col min="9487" max="9487" width="10.42578125" style="414" customWidth="1"/>
    <col min="9488" max="9488" width="10.28515625" style="414" customWidth="1"/>
    <col min="9489" max="9728" width="11.42578125" style="414"/>
    <col min="9729" max="9729" width="7" style="414" customWidth="1"/>
    <col min="9730" max="9730" width="10.7109375" style="414" customWidth="1"/>
    <col min="9731" max="9731" width="10.5703125" style="414" customWidth="1"/>
    <col min="9732" max="9732" width="10.7109375" style="414" customWidth="1"/>
    <col min="9733" max="9733" width="10.28515625" style="414" customWidth="1"/>
    <col min="9734" max="9734" width="10.7109375" style="414" customWidth="1"/>
    <col min="9735" max="9735" width="9.42578125" style="414" customWidth="1"/>
    <col min="9736" max="9736" width="10.5703125" style="414" customWidth="1"/>
    <col min="9737" max="9737" width="13.7109375" style="414" customWidth="1"/>
    <col min="9738" max="9739" width="10.42578125" style="414" customWidth="1"/>
    <col min="9740" max="9740" width="10.28515625" style="414" customWidth="1"/>
    <col min="9741" max="9741" width="9.42578125" style="414" customWidth="1"/>
    <col min="9742" max="9742" width="8.7109375" style="414" customWidth="1"/>
    <col min="9743" max="9743" width="10.42578125" style="414" customWidth="1"/>
    <col min="9744" max="9744" width="10.28515625" style="414" customWidth="1"/>
    <col min="9745" max="9984" width="11.42578125" style="414"/>
    <col min="9985" max="9985" width="7" style="414" customWidth="1"/>
    <col min="9986" max="9986" width="10.7109375" style="414" customWidth="1"/>
    <col min="9987" max="9987" width="10.5703125" style="414" customWidth="1"/>
    <col min="9988" max="9988" width="10.7109375" style="414" customWidth="1"/>
    <col min="9989" max="9989" width="10.28515625" style="414" customWidth="1"/>
    <col min="9990" max="9990" width="10.7109375" style="414" customWidth="1"/>
    <col min="9991" max="9991" width="9.42578125" style="414" customWidth="1"/>
    <col min="9992" max="9992" width="10.5703125" style="414" customWidth="1"/>
    <col min="9993" max="9993" width="13.7109375" style="414" customWidth="1"/>
    <col min="9994" max="9995" width="10.42578125" style="414" customWidth="1"/>
    <col min="9996" max="9996" width="10.28515625" style="414" customWidth="1"/>
    <col min="9997" max="9997" width="9.42578125" style="414" customWidth="1"/>
    <col min="9998" max="9998" width="8.7109375" style="414" customWidth="1"/>
    <col min="9999" max="9999" width="10.42578125" style="414" customWidth="1"/>
    <col min="10000" max="10000" width="10.28515625" style="414" customWidth="1"/>
    <col min="10001" max="10240" width="11.42578125" style="414"/>
    <col min="10241" max="10241" width="7" style="414" customWidth="1"/>
    <col min="10242" max="10242" width="10.7109375" style="414" customWidth="1"/>
    <col min="10243" max="10243" width="10.5703125" style="414" customWidth="1"/>
    <col min="10244" max="10244" width="10.7109375" style="414" customWidth="1"/>
    <col min="10245" max="10245" width="10.28515625" style="414" customWidth="1"/>
    <col min="10246" max="10246" width="10.7109375" style="414" customWidth="1"/>
    <col min="10247" max="10247" width="9.42578125" style="414" customWidth="1"/>
    <col min="10248" max="10248" width="10.5703125" style="414" customWidth="1"/>
    <col min="10249" max="10249" width="13.7109375" style="414" customWidth="1"/>
    <col min="10250" max="10251" width="10.42578125" style="414" customWidth="1"/>
    <col min="10252" max="10252" width="10.28515625" style="414" customWidth="1"/>
    <col min="10253" max="10253" width="9.42578125" style="414" customWidth="1"/>
    <col min="10254" max="10254" width="8.7109375" style="414" customWidth="1"/>
    <col min="10255" max="10255" width="10.42578125" style="414" customWidth="1"/>
    <col min="10256" max="10256" width="10.28515625" style="414" customWidth="1"/>
    <col min="10257" max="10496" width="11.42578125" style="414"/>
    <col min="10497" max="10497" width="7" style="414" customWidth="1"/>
    <col min="10498" max="10498" width="10.7109375" style="414" customWidth="1"/>
    <col min="10499" max="10499" width="10.5703125" style="414" customWidth="1"/>
    <col min="10500" max="10500" width="10.7109375" style="414" customWidth="1"/>
    <col min="10501" max="10501" width="10.28515625" style="414" customWidth="1"/>
    <col min="10502" max="10502" width="10.7109375" style="414" customWidth="1"/>
    <col min="10503" max="10503" width="9.42578125" style="414" customWidth="1"/>
    <col min="10504" max="10504" width="10.5703125" style="414" customWidth="1"/>
    <col min="10505" max="10505" width="13.7109375" style="414" customWidth="1"/>
    <col min="10506" max="10507" width="10.42578125" style="414" customWidth="1"/>
    <col min="10508" max="10508" width="10.28515625" style="414" customWidth="1"/>
    <col min="10509" max="10509" width="9.42578125" style="414" customWidth="1"/>
    <col min="10510" max="10510" width="8.7109375" style="414" customWidth="1"/>
    <col min="10511" max="10511" width="10.42578125" style="414" customWidth="1"/>
    <col min="10512" max="10512" width="10.28515625" style="414" customWidth="1"/>
    <col min="10513" max="10752" width="11.42578125" style="414"/>
    <col min="10753" max="10753" width="7" style="414" customWidth="1"/>
    <col min="10754" max="10754" width="10.7109375" style="414" customWidth="1"/>
    <col min="10755" max="10755" width="10.5703125" style="414" customWidth="1"/>
    <col min="10756" max="10756" width="10.7109375" style="414" customWidth="1"/>
    <col min="10757" max="10757" width="10.28515625" style="414" customWidth="1"/>
    <col min="10758" max="10758" width="10.7109375" style="414" customWidth="1"/>
    <col min="10759" max="10759" width="9.42578125" style="414" customWidth="1"/>
    <col min="10760" max="10760" width="10.5703125" style="414" customWidth="1"/>
    <col min="10761" max="10761" width="13.7109375" style="414" customWidth="1"/>
    <col min="10762" max="10763" width="10.42578125" style="414" customWidth="1"/>
    <col min="10764" max="10764" width="10.28515625" style="414" customWidth="1"/>
    <col min="10765" max="10765" width="9.42578125" style="414" customWidth="1"/>
    <col min="10766" max="10766" width="8.7109375" style="414" customWidth="1"/>
    <col min="10767" max="10767" width="10.42578125" style="414" customWidth="1"/>
    <col min="10768" max="10768" width="10.28515625" style="414" customWidth="1"/>
    <col min="10769" max="11008" width="11.42578125" style="414"/>
    <col min="11009" max="11009" width="7" style="414" customWidth="1"/>
    <col min="11010" max="11010" width="10.7109375" style="414" customWidth="1"/>
    <col min="11011" max="11011" width="10.5703125" style="414" customWidth="1"/>
    <col min="11012" max="11012" width="10.7109375" style="414" customWidth="1"/>
    <col min="11013" max="11013" width="10.28515625" style="414" customWidth="1"/>
    <col min="11014" max="11014" width="10.7109375" style="414" customWidth="1"/>
    <col min="11015" max="11015" width="9.42578125" style="414" customWidth="1"/>
    <col min="11016" max="11016" width="10.5703125" style="414" customWidth="1"/>
    <col min="11017" max="11017" width="13.7109375" style="414" customWidth="1"/>
    <col min="11018" max="11019" width="10.42578125" style="414" customWidth="1"/>
    <col min="11020" max="11020" width="10.28515625" style="414" customWidth="1"/>
    <col min="11021" max="11021" width="9.42578125" style="414" customWidth="1"/>
    <col min="11022" max="11022" width="8.7109375" style="414" customWidth="1"/>
    <col min="11023" max="11023" width="10.42578125" style="414" customWidth="1"/>
    <col min="11024" max="11024" width="10.28515625" style="414" customWidth="1"/>
    <col min="11025" max="11264" width="11.42578125" style="414"/>
    <col min="11265" max="11265" width="7" style="414" customWidth="1"/>
    <col min="11266" max="11266" width="10.7109375" style="414" customWidth="1"/>
    <col min="11267" max="11267" width="10.5703125" style="414" customWidth="1"/>
    <col min="11268" max="11268" width="10.7109375" style="414" customWidth="1"/>
    <col min="11269" max="11269" width="10.28515625" style="414" customWidth="1"/>
    <col min="11270" max="11270" width="10.7109375" style="414" customWidth="1"/>
    <col min="11271" max="11271" width="9.42578125" style="414" customWidth="1"/>
    <col min="11272" max="11272" width="10.5703125" style="414" customWidth="1"/>
    <col min="11273" max="11273" width="13.7109375" style="414" customWidth="1"/>
    <col min="11274" max="11275" width="10.42578125" style="414" customWidth="1"/>
    <col min="11276" max="11276" width="10.28515625" style="414" customWidth="1"/>
    <col min="11277" max="11277" width="9.42578125" style="414" customWidth="1"/>
    <col min="11278" max="11278" width="8.7109375" style="414" customWidth="1"/>
    <col min="11279" max="11279" width="10.42578125" style="414" customWidth="1"/>
    <col min="11280" max="11280" width="10.28515625" style="414" customWidth="1"/>
    <col min="11281" max="11520" width="11.42578125" style="414"/>
    <col min="11521" max="11521" width="7" style="414" customWidth="1"/>
    <col min="11522" max="11522" width="10.7109375" style="414" customWidth="1"/>
    <col min="11523" max="11523" width="10.5703125" style="414" customWidth="1"/>
    <col min="11524" max="11524" width="10.7109375" style="414" customWidth="1"/>
    <col min="11525" max="11525" width="10.28515625" style="414" customWidth="1"/>
    <col min="11526" max="11526" width="10.7109375" style="414" customWidth="1"/>
    <col min="11527" max="11527" width="9.42578125" style="414" customWidth="1"/>
    <col min="11528" max="11528" width="10.5703125" style="414" customWidth="1"/>
    <col min="11529" max="11529" width="13.7109375" style="414" customWidth="1"/>
    <col min="11530" max="11531" width="10.42578125" style="414" customWidth="1"/>
    <col min="11532" max="11532" width="10.28515625" style="414" customWidth="1"/>
    <col min="11533" max="11533" width="9.42578125" style="414" customWidth="1"/>
    <col min="11534" max="11534" width="8.7109375" style="414" customWidth="1"/>
    <col min="11535" max="11535" width="10.42578125" style="414" customWidth="1"/>
    <col min="11536" max="11536" width="10.28515625" style="414" customWidth="1"/>
    <col min="11537" max="11776" width="11.42578125" style="414"/>
    <col min="11777" max="11777" width="7" style="414" customWidth="1"/>
    <col min="11778" max="11778" width="10.7109375" style="414" customWidth="1"/>
    <col min="11779" max="11779" width="10.5703125" style="414" customWidth="1"/>
    <col min="11780" max="11780" width="10.7109375" style="414" customWidth="1"/>
    <col min="11781" max="11781" width="10.28515625" style="414" customWidth="1"/>
    <col min="11782" max="11782" width="10.7109375" style="414" customWidth="1"/>
    <col min="11783" max="11783" width="9.42578125" style="414" customWidth="1"/>
    <col min="11784" max="11784" width="10.5703125" style="414" customWidth="1"/>
    <col min="11785" max="11785" width="13.7109375" style="414" customWidth="1"/>
    <col min="11786" max="11787" width="10.42578125" style="414" customWidth="1"/>
    <col min="11788" max="11788" width="10.28515625" style="414" customWidth="1"/>
    <col min="11789" max="11789" width="9.42578125" style="414" customWidth="1"/>
    <col min="11790" max="11790" width="8.7109375" style="414" customWidth="1"/>
    <col min="11791" max="11791" width="10.42578125" style="414" customWidth="1"/>
    <col min="11792" max="11792" width="10.28515625" style="414" customWidth="1"/>
    <col min="11793" max="12032" width="11.42578125" style="414"/>
    <col min="12033" max="12033" width="7" style="414" customWidth="1"/>
    <col min="12034" max="12034" width="10.7109375" style="414" customWidth="1"/>
    <col min="12035" max="12035" width="10.5703125" style="414" customWidth="1"/>
    <col min="12036" max="12036" width="10.7109375" style="414" customWidth="1"/>
    <col min="12037" max="12037" width="10.28515625" style="414" customWidth="1"/>
    <col min="12038" max="12038" width="10.7109375" style="414" customWidth="1"/>
    <col min="12039" max="12039" width="9.42578125" style="414" customWidth="1"/>
    <col min="12040" max="12040" width="10.5703125" style="414" customWidth="1"/>
    <col min="12041" max="12041" width="13.7109375" style="414" customWidth="1"/>
    <col min="12042" max="12043" width="10.42578125" style="414" customWidth="1"/>
    <col min="12044" max="12044" width="10.28515625" style="414" customWidth="1"/>
    <col min="12045" max="12045" width="9.42578125" style="414" customWidth="1"/>
    <col min="12046" max="12046" width="8.7109375" style="414" customWidth="1"/>
    <col min="12047" max="12047" width="10.42578125" style="414" customWidth="1"/>
    <col min="12048" max="12048" width="10.28515625" style="414" customWidth="1"/>
    <col min="12049" max="12288" width="11.42578125" style="414"/>
    <col min="12289" max="12289" width="7" style="414" customWidth="1"/>
    <col min="12290" max="12290" width="10.7109375" style="414" customWidth="1"/>
    <col min="12291" max="12291" width="10.5703125" style="414" customWidth="1"/>
    <col min="12292" max="12292" width="10.7109375" style="414" customWidth="1"/>
    <col min="12293" max="12293" width="10.28515625" style="414" customWidth="1"/>
    <col min="12294" max="12294" width="10.7109375" style="414" customWidth="1"/>
    <col min="12295" max="12295" width="9.42578125" style="414" customWidth="1"/>
    <col min="12296" max="12296" width="10.5703125" style="414" customWidth="1"/>
    <col min="12297" max="12297" width="13.7109375" style="414" customWidth="1"/>
    <col min="12298" max="12299" width="10.42578125" style="414" customWidth="1"/>
    <col min="12300" max="12300" width="10.28515625" style="414" customWidth="1"/>
    <col min="12301" max="12301" width="9.42578125" style="414" customWidth="1"/>
    <col min="12302" max="12302" width="8.7109375" style="414" customWidth="1"/>
    <col min="12303" max="12303" width="10.42578125" style="414" customWidth="1"/>
    <col min="12304" max="12304" width="10.28515625" style="414" customWidth="1"/>
    <col min="12305" max="12544" width="11.42578125" style="414"/>
    <col min="12545" max="12545" width="7" style="414" customWidth="1"/>
    <col min="12546" max="12546" width="10.7109375" style="414" customWidth="1"/>
    <col min="12547" max="12547" width="10.5703125" style="414" customWidth="1"/>
    <col min="12548" max="12548" width="10.7109375" style="414" customWidth="1"/>
    <col min="12549" max="12549" width="10.28515625" style="414" customWidth="1"/>
    <col min="12550" max="12550" width="10.7109375" style="414" customWidth="1"/>
    <col min="12551" max="12551" width="9.42578125" style="414" customWidth="1"/>
    <col min="12552" max="12552" width="10.5703125" style="414" customWidth="1"/>
    <col min="12553" max="12553" width="13.7109375" style="414" customWidth="1"/>
    <col min="12554" max="12555" width="10.42578125" style="414" customWidth="1"/>
    <col min="12556" max="12556" width="10.28515625" style="414" customWidth="1"/>
    <col min="12557" max="12557" width="9.42578125" style="414" customWidth="1"/>
    <col min="12558" max="12558" width="8.7109375" style="414" customWidth="1"/>
    <col min="12559" max="12559" width="10.42578125" style="414" customWidth="1"/>
    <col min="12560" max="12560" width="10.28515625" style="414" customWidth="1"/>
    <col min="12561" max="12800" width="11.42578125" style="414"/>
    <col min="12801" max="12801" width="7" style="414" customWidth="1"/>
    <col min="12802" max="12802" width="10.7109375" style="414" customWidth="1"/>
    <col min="12803" max="12803" width="10.5703125" style="414" customWidth="1"/>
    <col min="12804" max="12804" width="10.7109375" style="414" customWidth="1"/>
    <col min="12805" max="12805" width="10.28515625" style="414" customWidth="1"/>
    <col min="12806" max="12806" width="10.7109375" style="414" customWidth="1"/>
    <col min="12807" max="12807" width="9.42578125" style="414" customWidth="1"/>
    <col min="12808" max="12808" width="10.5703125" style="414" customWidth="1"/>
    <col min="12809" max="12809" width="13.7109375" style="414" customWidth="1"/>
    <col min="12810" max="12811" width="10.42578125" style="414" customWidth="1"/>
    <col min="12812" max="12812" width="10.28515625" style="414" customWidth="1"/>
    <col min="12813" max="12813" width="9.42578125" style="414" customWidth="1"/>
    <col min="12814" max="12814" width="8.7109375" style="414" customWidth="1"/>
    <col min="12815" max="12815" width="10.42578125" style="414" customWidth="1"/>
    <col min="12816" max="12816" width="10.28515625" style="414" customWidth="1"/>
    <col min="12817" max="13056" width="11.42578125" style="414"/>
    <col min="13057" max="13057" width="7" style="414" customWidth="1"/>
    <col min="13058" max="13058" width="10.7109375" style="414" customWidth="1"/>
    <col min="13059" max="13059" width="10.5703125" style="414" customWidth="1"/>
    <col min="13060" max="13060" width="10.7109375" style="414" customWidth="1"/>
    <col min="13061" max="13061" width="10.28515625" style="414" customWidth="1"/>
    <col min="13062" max="13062" width="10.7109375" style="414" customWidth="1"/>
    <col min="13063" max="13063" width="9.42578125" style="414" customWidth="1"/>
    <col min="13064" max="13064" width="10.5703125" style="414" customWidth="1"/>
    <col min="13065" max="13065" width="13.7109375" style="414" customWidth="1"/>
    <col min="13066" max="13067" width="10.42578125" style="414" customWidth="1"/>
    <col min="13068" max="13068" width="10.28515625" style="414" customWidth="1"/>
    <col min="13069" max="13069" width="9.42578125" style="414" customWidth="1"/>
    <col min="13070" max="13070" width="8.7109375" style="414" customWidth="1"/>
    <col min="13071" max="13071" width="10.42578125" style="414" customWidth="1"/>
    <col min="13072" max="13072" width="10.28515625" style="414" customWidth="1"/>
    <col min="13073" max="13312" width="11.42578125" style="414"/>
    <col min="13313" max="13313" width="7" style="414" customWidth="1"/>
    <col min="13314" max="13314" width="10.7109375" style="414" customWidth="1"/>
    <col min="13315" max="13315" width="10.5703125" style="414" customWidth="1"/>
    <col min="13316" max="13316" width="10.7109375" style="414" customWidth="1"/>
    <col min="13317" max="13317" width="10.28515625" style="414" customWidth="1"/>
    <col min="13318" max="13318" width="10.7109375" style="414" customWidth="1"/>
    <col min="13319" max="13319" width="9.42578125" style="414" customWidth="1"/>
    <col min="13320" max="13320" width="10.5703125" style="414" customWidth="1"/>
    <col min="13321" max="13321" width="13.7109375" style="414" customWidth="1"/>
    <col min="13322" max="13323" width="10.42578125" style="414" customWidth="1"/>
    <col min="13324" max="13324" width="10.28515625" style="414" customWidth="1"/>
    <col min="13325" max="13325" width="9.42578125" style="414" customWidth="1"/>
    <col min="13326" max="13326" width="8.7109375" style="414" customWidth="1"/>
    <col min="13327" max="13327" width="10.42578125" style="414" customWidth="1"/>
    <col min="13328" max="13328" width="10.28515625" style="414" customWidth="1"/>
    <col min="13329" max="13568" width="11.42578125" style="414"/>
    <col min="13569" max="13569" width="7" style="414" customWidth="1"/>
    <col min="13570" max="13570" width="10.7109375" style="414" customWidth="1"/>
    <col min="13571" max="13571" width="10.5703125" style="414" customWidth="1"/>
    <col min="13572" max="13572" width="10.7109375" style="414" customWidth="1"/>
    <col min="13573" max="13573" width="10.28515625" style="414" customWidth="1"/>
    <col min="13574" max="13574" width="10.7109375" style="414" customWidth="1"/>
    <col min="13575" max="13575" width="9.42578125" style="414" customWidth="1"/>
    <col min="13576" max="13576" width="10.5703125" style="414" customWidth="1"/>
    <col min="13577" max="13577" width="13.7109375" style="414" customWidth="1"/>
    <col min="13578" max="13579" width="10.42578125" style="414" customWidth="1"/>
    <col min="13580" max="13580" width="10.28515625" style="414" customWidth="1"/>
    <col min="13581" max="13581" width="9.42578125" style="414" customWidth="1"/>
    <col min="13582" max="13582" width="8.7109375" style="414" customWidth="1"/>
    <col min="13583" max="13583" width="10.42578125" style="414" customWidth="1"/>
    <col min="13584" max="13584" width="10.28515625" style="414" customWidth="1"/>
    <col min="13585" max="13824" width="11.42578125" style="414"/>
    <col min="13825" max="13825" width="7" style="414" customWidth="1"/>
    <col min="13826" max="13826" width="10.7109375" style="414" customWidth="1"/>
    <col min="13827" max="13827" width="10.5703125" style="414" customWidth="1"/>
    <col min="13828" max="13828" width="10.7109375" style="414" customWidth="1"/>
    <col min="13829" max="13829" width="10.28515625" style="414" customWidth="1"/>
    <col min="13830" max="13830" width="10.7109375" style="414" customWidth="1"/>
    <col min="13831" max="13831" width="9.42578125" style="414" customWidth="1"/>
    <col min="13832" max="13832" width="10.5703125" style="414" customWidth="1"/>
    <col min="13833" max="13833" width="13.7109375" style="414" customWidth="1"/>
    <col min="13834" max="13835" width="10.42578125" style="414" customWidth="1"/>
    <col min="13836" max="13836" width="10.28515625" style="414" customWidth="1"/>
    <col min="13837" max="13837" width="9.42578125" style="414" customWidth="1"/>
    <col min="13838" max="13838" width="8.7109375" style="414" customWidth="1"/>
    <col min="13839" max="13839" width="10.42578125" style="414" customWidth="1"/>
    <col min="13840" max="13840" width="10.28515625" style="414" customWidth="1"/>
    <col min="13841" max="14080" width="11.42578125" style="414"/>
    <col min="14081" max="14081" width="7" style="414" customWidth="1"/>
    <col min="14082" max="14082" width="10.7109375" style="414" customWidth="1"/>
    <col min="14083" max="14083" width="10.5703125" style="414" customWidth="1"/>
    <col min="14084" max="14084" width="10.7109375" style="414" customWidth="1"/>
    <col min="14085" max="14085" width="10.28515625" style="414" customWidth="1"/>
    <col min="14086" max="14086" width="10.7109375" style="414" customWidth="1"/>
    <col min="14087" max="14087" width="9.42578125" style="414" customWidth="1"/>
    <col min="14088" max="14088" width="10.5703125" style="414" customWidth="1"/>
    <col min="14089" max="14089" width="13.7109375" style="414" customWidth="1"/>
    <col min="14090" max="14091" width="10.42578125" style="414" customWidth="1"/>
    <col min="14092" max="14092" width="10.28515625" style="414" customWidth="1"/>
    <col min="14093" max="14093" width="9.42578125" style="414" customWidth="1"/>
    <col min="14094" max="14094" width="8.7109375" style="414" customWidth="1"/>
    <col min="14095" max="14095" width="10.42578125" style="414" customWidth="1"/>
    <col min="14096" max="14096" width="10.28515625" style="414" customWidth="1"/>
    <col min="14097" max="14336" width="11.42578125" style="414"/>
    <col min="14337" max="14337" width="7" style="414" customWidth="1"/>
    <col min="14338" max="14338" width="10.7109375" style="414" customWidth="1"/>
    <col min="14339" max="14339" width="10.5703125" style="414" customWidth="1"/>
    <col min="14340" max="14340" width="10.7109375" style="414" customWidth="1"/>
    <col min="14341" max="14341" width="10.28515625" style="414" customWidth="1"/>
    <col min="14342" max="14342" width="10.7109375" style="414" customWidth="1"/>
    <col min="14343" max="14343" width="9.42578125" style="414" customWidth="1"/>
    <col min="14344" max="14344" width="10.5703125" style="414" customWidth="1"/>
    <col min="14345" max="14345" width="13.7109375" style="414" customWidth="1"/>
    <col min="14346" max="14347" width="10.42578125" style="414" customWidth="1"/>
    <col min="14348" max="14348" width="10.28515625" style="414" customWidth="1"/>
    <col min="14349" max="14349" width="9.42578125" style="414" customWidth="1"/>
    <col min="14350" max="14350" width="8.7109375" style="414" customWidth="1"/>
    <col min="14351" max="14351" width="10.42578125" style="414" customWidth="1"/>
    <col min="14352" max="14352" width="10.28515625" style="414" customWidth="1"/>
    <col min="14353" max="14592" width="11.42578125" style="414"/>
    <col min="14593" max="14593" width="7" style="414" customWidth="1"/>
    <col min="14594" max="14594" width="10.7109375" style="414" customWidth="1"/>
    <col min="14595" max="14595" width="10.5703125" style="414" customWidth="1"/>
    <col min="14596" max="14596" width="10.7109375" style="414" customWidth="1"/>
    <col min="14597" max="14597" width="10.28515625" style="414" customWidth="1"/>
    <col min="14598" max="14598" width="10.7109375" style="414" customWidth="1"/>
    <col min="14599" max="14599" width="9.42578125" style="414" customWidth="1"/>
    <col min="14600" max="14600" width="10.5703125" style="414" customWidth="1"/>
    <col min="14601" max="14601" width="13.7109375" style="414" customWidth="1"/>
    <col min="14602" max="14603" width="10.42578125" style="414" customWidth="1"/>
    <col min="14604" max="14604" width="10.28515625" style="414" customWidth="1"/>
    <col min="14605" max="14605" width="9.42578125" style="414" customWidth="1"/>
    <col min="14606" max="14606" width="8.7109375" style="414" customWidth="1"/>
    <col min="14607" max="14607" width="10.42578125" style="414" customWidth="1"/>
    <col min="14608" max="14608" width="10.28515625" style="414" customWidth="1"/>
    <col min="14609" max="14848" width="11.42578125" style="414"/>
    <col min="14849" max="14849" width="7" style="414" customWidth="1"/>
    <col min="14850" max="14850" width="10.7109375" style="414" customWidth="1"/>
    <col min="14851" max="14851" width="10.5703125" style="414" customWidth="1"/>
    <col min="14852" max="14852" width="10.7109375" style="414" customWidth="1"/>
    <col min="14853" max="14853" width="10.28515625" style="414" customWidth="1"/>
    <col min="14854" max="14854" width="10.7109375" style="414" customWidth="1"/>
    <col min="14855" max="14855" width="9.42578125" style="414" customWidth="1"/>
    <col min="14856" max="14856" width="10.5703125" style="414" customWidth="1"/>
    <col min="14857" max="14857" width="13.7109375" style="414" customWidth="1"/>
    <col min="14858" max="14859" width="10.42578125" style="414" customWidth="1"/>
    <col min="14860" max="14860" width="10.28515625" style="414" customWidth="1"/>
    <col min="14861" max="14861" width="9.42578125" style="414" customWidth="1"/>
    <col min="14862" max="14862" width="8.7109375" style="414" customWidth="1"/>
    <col min="14863" max="14863" width="10.42578125" style="414" customWidth="1"/>
    <col min="14864" max="14864" width="10.28515625" style="414" customWidth="1"/>
    <col min="14865" max="15104" width="11.42578125" style="414"/>
    <col min="15105" max="15105" width="7" style="414" customWidth="1"/>
    <col min="15106" max="15106" width="10.7109375" style="414" customWidth="1"/>
    <col min="15107" max="15107" width="10.5703125" style="414" customWidth="1"/>
    <col min="15108" max="15108" width="10.7109375" style="414" customWidth="1"/>
    <col min="15109" max="15109" width="10.28515625" style="414" customWidth="1"/>
    <col min="15110" max="15110" width="10.7109375" style="414" customWidth="1"/>
    <col min="15111" max="15111" width="9.42578125" style="414" customWidth="1"/>
    <col min="15112" max="15112" width="10.5703125" style="414" customWidth="1"/>
    <col min="15113" max="15113" width="13.7109375" style="414" customWidth="1"/>
    <col min="15114" max="15115" width="10.42578125" style="414" customWidth="1"/>
    <col min="15116" max="15116" width="10.28515625" style="414" customWidth="1"/>
    <col min="15117" max="15117" width="9.42578125" style="414" customWidth="1"/>
    <col min="15118" max="15118" width="8.7109375" style="414" customWidth="1"/>
    <col min="15119" max="15119" width="10.42578125" style="414" customWidth="1"/>
    <col min="15120" max="15120" width="10.28515625" style="414" customWidth="1"/>
    <col min="15121" max="15360" width="11.42578125" style="414"/>
    <col min="15361" max="15361" width="7" style="414" customWidth="1"/>
    <col min="15362" max="15362" width="10.7109375" style="414" customWidth="1"/>
    <col min="15363" max="15363" width="10.5703125" style="414" customWidth="1"/>
    <col min="15364" max="15364" width="10.7109375" style="414" customWidth="1"/>
    <col min="15365" max="15365" width="10.28515625" style="414" customWidth="1"/>
    <col min="15366" max="15366" width="10.7109375" style="414" customWidth="1"/>
    <col min="15367" max="15367" width="9.42578125" style="414" customWidth="1"/>
    <col min="15368" max="15368" width="10.5703125" style="414" customWidth="1"/>
    <col min="15369" max="15369" width="13.7109375" style="414" customWidth="1"/>
    <col min="15370" max="15371" width="10.42578125" style="414" customWidth="1"/>
    <col min="15372" max="15372" width="10.28515625" style="414" customWidth="1"/>
    <col min="15373" max="15373" width="9.42578125" style="414" customWidth="1"/>
    <col min="15374" max="15374" width="8.7109375" style="414" customWidth="1"/>
    <col min="15375" max="15375" width="10.42578125" style="414" customWidth="1"/>
    <col min="15376" max="15376" width="10.28515625" style="414" customWidth="1"/>
    <col min="15377" max="15616" width="11.42578125" style="414"/>
    <col min="15617" max="15617" width="7" style="414" customWidth="1"/>
    <col min="15618" max="15618" width="10.7109375" style="414" customWidth="1"/>
    <col min="15619" max="15619" width="10.5703125" style="414" customWidth="1"/>
    <col min="15620" max="15620" width="10.7109375" style="414" customWidth="1"/>
    <col min="15621" max="15621" width="10.28515625" style="414" customWidth="1"/>
    <col min="15622" max="15622" width="10.7109375" style="414" customWidth="1"/>
    <col min="15623" max="15623" width="9.42578125" style="414" customWidth="1"/>
    <col min="15624" max="15624" width="10.5703125" style="414" customWidth="1"/>
    <col min="15625" max="15625" width="13.7109375" style="414" customWidth="1"/>
    <col min="15626" max="15627" width="10.42578125" style="414" customWidth="1"/>
    <col min="15628" max="15628" width="10.28515625" style="414" customWidth="1"/>
    <col min="15629" max="15629" width="9.42578125" style="414" customWidth="1"/>
    <col min="15630" max="15630" width="8.7109375" style="414" customWidth="1"/>
    <col min="15631" max="15631" width="10.42578125" style="414" customWidth="1"/>
    <col min="15632" max="15632" width="10.28515625" style="414" customWidth="1"/>
    <col min="15633" max="15872" width="11.42578125" style="414"/>
    <col min="15873" max="15873" width="7" style="414" customWidth="1"/>
    <col min="15874" max="15874" width="10.7109375" style="414" customWidth="1"/>
    <col min="15875" max="15875" width="10.5703125" style="414" customWidth="1"/>
    <col min="15876" max="15876" width="10.7109375" style="414" customWidth="1"/>
    <col min="15877" max="15877" width="10.28515625" style="414" customWidth="1"/>
    <col min="15878" max="15878" width="10.7109375" style="414" customWidth="1"/>
    <col min="15879" max="15879" width="9.42578125" style="414" customWidth="1"/>
    <col min="15880" max="15880" width="10.5703125" style="414" customWidth="1"/>
    <col min="15881" max="15881" width="13.7109375" style="414" customWidth="1"/>
    <col min="15882" max="15883" width="10.42578125" style="414" customWidth="1"/>
    <col min="15884" max="15884" width="10.28515625" style="414" customWidth="1"/>
    <col min="15885" max="15885" width="9.42578125" style="414" customWidth="1"/>
    <col min="15886" max="15886" width="8.7109375" style="414" customWidth="1"/>
    <col min="15887" max="15887" width="10.42578125" style="414" customWidth="1"/>
    <col min="15888" max="15888" width="10.28515625" style="414" customWidth="1"/>
    <col min="15889" max="16128" width="11.42578125" style="414"/>
    <col min="16129" max="16129" width="7" style="414" customWidth="1"/>
    <col min="16130" max="16130" width="10.7109375" style="414" customWidth="1"/>
    <col min="16131" max="16131" width="10.5703125" style="414" customWidth="1"/>
    <col min="16132" max="16132" width="10.7109375" style="414" customWidth="1"/>
    <col min="16133" max="16133" width="10.28515625" style="414" customWidth="1"/>
    <col min="16134" max="16134" width="10.7109375" style="414" customWidth="1"/>
    <col min="16135" max="16135" width="9.42578125" style="414" customWidth="1"/>
    <col min="16136" max="16136" width="10.5703125" style="414" customWidth="1"/>
    <col min="16137" max="16137" width="13.7109375" style="414" customWidth="1"/>
    <col min="16138" max="16139" width="10.42578125" style="414" customWidth="1"/>
    <col min="16140" max="16140" width="10.28515625" style="414" customWidth="1"/>
    <col min="16141" max="16141" width="9.42578125" style="414" customWidth="1"/>
    <col min="16142" max="16142" width="8.7109375" style="414" customWidth="1"/>
    <col min="16143" max="16143" width="10.42578125" style="414" customWidth="1"/>
    <col min="16144" max="16144" width="10.28515625" style="414" customWidth="1"/>
    <col min="16145" max="16384" width="11.42578125" style="414"/>
  </cols>
  <sheetData>
    <row r="1" spans="1:21" ht="15" customHeight="1" x14ac:dyDescent="0.2">
      <c r="A1" s="847" t="s">
        <v>1706</v>
      </c>
      <c r="B1" s="847"/>
      <c r="C1" s="847"/>
      <c r="D1" s="847"/>
      <c r="E1" s="847"/>
      <c r="F1" s="847"/>
      <c r="G1" s="847"/>
      <c r="H1" s="847"/>
      <c r="I1" s="847"/>
      <c r="J1" s="847"/>
      <c r="K1" s="847"/>
      <c r="L1" s="847"/>
      <c r="M1" s="847"/>
      <c r="N1" s="847"/>
      <c r="O1" s="847"/>
      <c r="P1" s="847"/>
    </row>
    <row r="2" spans="1:21" ht="15" customHeight="1" x14ac:dyDescent="0.2">
      <c r="A2" s="847" t="s">
        <v>1707</v>
      </c>
      <c r="B2" s="847"/>
      <c r="C2" s="847"/>
      <c r="D2" s="847"/>
      <c r="E2" s="847"/>
      <c r="F2" s="847" t="s">
        <v>1708</v>
      </c>
      <c r="G2" s="847"/>
      <c r="H2" s="847"/>
      <c r="I2" s="847"/>
      <c r="J2" s="847"/>
      <c r="K2" s="847"/>
      <c r="L2" s="847"/>
      <c r="M2" s="847"/>
      <c r="N2" s="847"/>
      <c r="O2" s="847"/>
      <c r="P2" s="847"/>
    </row>
    <row r="3" spans="1:21" ht="15" customHeight="1" x14ac:dyDescent="0.2">
      <c r="E3" s="415"/>
    </row>
    <row r="4" spans="1:21" ht="15" customHeight="1" x14ac:dyDescent="0.25">
      <c r="A4" s="848" t="s">
        <v>1709</v>
      </c>
      <c r="B4" s="848"/>
      <c r="C4" s="848"/>
      <c r="D4" s="848"/>
      <c r="E4" s="848"/>
      <c r="F4" s="415"/>
      <c r="K4" s="415"/>
      <c r="N4" s="415" t="s">
        <v>1710</v>
      </c>
      <c r="O4" s="416">
        <f>IF(HorasAmortizaciónEquipoCamión=0,0,ROUND(Valor_CamiónSolo*PorcentajeEquipoAmortizarCamión/HorasAmortizaciónEquipoCamión,3))</f>
        <v>0</v>
      </c>
    </row>
    <row r="5" spans="1:21" ht="15" customHeight="1" x14ac:dyDescent="0.2">
      <c r="A5" s="417"/>
      <c r="B5" s="417"/>
      <c r="C5" s="417"/>
      <c r="D5" s="417"/>
      <c r="E5" s="417"/>
      <c r="F5" s="415"/>
      <c r="K5" s="415"/>
      <c r="O5" s="418"/>
    </row>
    <row r="6" spans="1:21" ht="15" customHeight="1" x14ac:dyDescent="0.2">
      <c r="A6" s="483"/>
      <c r="B6" s="483"/>
      <c r="C6" s="483"/>
      <c r="D6" s="483"/>
      <c r="E6" s="483"/>
      <c r="F6" s="415"/>
      <c r="K6" s="415"/>
      <c r="O6" s="418"/>
      <c r="Q6" s="417"/>
      <c r="R6" s="417"/>
      <c r="S6" s="417"/>
      <c r="T6" s="417"/>
      <c r="U6" s="417"/>
    </row>
    <row r="7" spans="1:21" ht="15" customHeight="1" x14ac:dyDescent="0.2">
      <c r="A7" s="854" t="s">
        <v>1711</v>
      </c>
      <c r="B7" s="855"/>
      <c r="C7" s="855"/>
      <c r="D7" s="856"/>
      <c r="E7" s="461"/>
      <c r="F7" s="415"/>
      <c r="G7" s="419"/>
      <c r="H7" s="417"/>
      <c r="I7" s="849"/>
      <c r="J7" s="420"/>
      <c r="K7" s="421"/>
      <c r="N7" s="415" t="s">
        <v>1712</v>
      </c>
      <c r="O7" s="452">
        <f>ROUND(Valor_CamiónSolo*E10/4000,3)</f>
        <v>0</v>
      </c>
      <c r="Q7" s="419"/>
      <c r="R7" s="422"/>
      <c r="S7" s="850"/>
      <c r="T7" s="423"/>
      <c r="U7" s="420"/>
    </row>
    <row r="8" spans="1:21" ht="15" customHeight="1" x14ac:dyDescent="0.2">
      <c r="A8" s="854" t="s">
        <v>1713</v>
      </c>
      <c r="B8" s="855"/>
      <c r="C8" s="855"/>
      <c r="D8" s="856"/>
      <c r="E8" s="462"/>
      <c r="F8" s="415"/>
      <c r="G8" s="851"/>
      <c r="H8" s="851"/>
      <c r="I8" s="849"/>
      <c r="K8" s="415"/>
      <c r="O8" s="418"/>
      <c r="Q8" s="851"/>
      <c r="R8" s="851"/>
      <c r="S8" s="850"/>
      <c r="T8" s="417"/>
      <c r="U8" s="417"/>
    </row>
    <row r="9" spans="1:21" ht="15" customHeight="1" x14ac:dyDescent="0.2">
      <c r="A9" s="854" t="s">
        <v>1714</v>
      </c>
      <c r="B9" s="855"/>
      <c r="C9" s="855"/>
      <c r="D9" s="856"/>
      <c r="E9" s="463"/>
      <c r="F9" s="415"/>
      <c r="K9" s="415"/>
      <c r="O9" s="418"/>
    </row>
    <row r="10" spans="1:21" ht="15" customHeight="1" x14ac:dyDescent="0.2">
      <c r="A10" s="854" t="s">
        <v>1715</v>
      </c>
      <c r="B10" s="855"/>
      <c r="C10" s="855"/>
      <c r="D10" s="856"/>
      <c r="E10" s="463"/>
      <c r="F10" s="415"/>
      <c r="K10" s="415"/>
      <c r="N10" s="415" t="s">
        <v>1716</v>
      </c>
      <c r="O10" s="416">
        <f>ROUND(O4*Porcentaje_Reparaciones_Repuestos,3)</f>
        <v>0</v>
      </c>
      <c r="Q10" s="417"/>
      <c r="R10" s="417"/>
      <c r="S10" s="417"/>
      <c r="T10" s="417"/>
      <c r="U10" s="417"/>
    </row>
    <row r="11" spans="1:21" ht="15" customHeight="1" x14ac:dyDescent="0.2">
      <c r="A11" s="854" t="s">
        <v>1717</v>
      </c>
      <c r="B11" s="855"/>
      <c r="C11" s="855"/>
      <c r="D11" s="856"/>
      <c r="E11" s="463"/>
      <c r="F11" s="415"/>
      <c r="K11" s="415"/>
      <c r="O11" s="418"/>
      <c r="Q11" s="417"/>
      <c r="R11" s="417"/>
      <c r="S11" s="417"/>
      <c r="T11" s="417"/>
      <c r="U11" s="417"/>
    </row>
    <row r="12" spans="1:21" ht="15" customHeight="1" x14ac:dyDescent="0.2">
      <c r="A12" s="854" t="s">
        <v>1718</v>
      </c>
      <c r="B12" s="855"/>
      <c r="C12" s="855"/>
      <c r="D12" s="856"/>
      <c r="E12" s="463"/>
      <c r="F12" s="415"/>
      <c r="K12" s="415"/>
      <c r="O12" s="418"/>
      <c r="Q12" s="417"/>
      <c r="R12" s="417"/>
      <c r="S12" s="417"/>
      <c r="T12" s="417"/>
      <c r="U12" s="417"/>
    </row>
    <row r="13" spans="1:21" ht="15" customHeight="1" x14ac:dyDescent="0.2">
      <c r="A13" s="854" t="s">
        <v>1719</v>
      </c>
      <c r="B13" s="855"/>
      <c r="C13" s="855"/>
      <c r="D13" s="856"/>
      <c r="E13" s="462"/>
      <c r="F13" s="415"/>
      <c r="G13" s="417"/>
      <c r="H13" s="417"/>
      <c r="I13" s="417"/>
      <c r="J13" s="417"/>
      <c r="K13" s="424"/>
      <c r="N13" s="415" t="s">
        <v>1720</v>
      </c>
      <c r="O13" s="416">
        <f>ROUND(Tiempo_lavado_en_horas*Mano_Obra_Lavado*Cantidad_lavado_al_mes*12/2000,3)</f>
        <v>0</v>
      </c>
      <c r="Q13" s="417"/>
      <c r="R13" s="417"/>
      <c r="S13" s="417"/>
      <c r="T13" s="417"/>
      <c r="U13" s="417"/>
    </row>
    <row r="14" spans="1:21" ht="15" customHeight="1" x14ac:dyDescent="0.2">
      <c r="A14" s="854" t="s">
        <v>1721</v>
      </c>
      <c r="B14" s="855"/>
      <c r="C14" s="855"/>
      <c r="D14" s="856"/>
      <c r="E14" s="464"/>
      <c r="F14" s="415"/>
      <c r="G14" s="417"/>
      <c r="H14" s="417"/>
      <c r="I14" s="417"/>
      <c r="J14" s="417"/>
      <c r="K14" s="424"/>
      <c r="O14" s="418"/>
      <c r="Q14" s="417"/>
      <c r="R14" s="417"/>
      <c r="S14" s="417"/>
      <c r="T14" s="417"/>
      <c r="U14" s="417"/>
    </row>
    <row r="15" spans="1:21" ht="15" customHeight="1" x14ac:dyDescent="0.2">
      <c r="A15" s="854" t="s">
        <v>1722</v>
      </c>
      <c r="B15" s="855"/>
      <c r="C15" s="855"/>
      <c r="D15" s="856"/>
      <c r="E15" s="465"/>
      <c r="F15" s="415"/>
      <c r="G15" s="419"/>
      <c r="H15" s="417"/>
      <c r="I15" s="850"/>
      <c r="J15" s="420"/>
      <c r="K15" s="425"/>
      <c r="O15" s="418"/>
      <c r="Q15" s="426"/>
      <c r="R15" s="427"/>
      <c r="S15" s="850"/>
      <c r="T15" s="423"/>
      <c r="U15" s="428"/>
    </row>
    <row r="16" spans="1:21" ht="15" customHeight="1" x14ac:dyDescent="0.2">
      <c r="A16" s="854" t="s">
        <v>1723</v>
      </c>
      <c r="B16" s="855"/>
      <c r="C16" s="855"/>
      <c r="D16" s="856"/>
      <c r="E16" s="466"/>
      <c r="F16" s="415"/>
      <c r="G16" s="851"/>
      <c r="H16" s="851"/>
      <c r="I16" s="850"/>
      <c r="J16" s="417"/>
      <c r="K16" s="424"/>
      <c r="N16" s="415" t="s">
        <v>1724</v>
      </c>
      <c r="O16" s="416">
        <f>ROUND(Valor_CamiónSolo*PorSegurosPatentesImpustoCamión/2000,3)</f>
        <v>0</v>
      </c>
      <c r="Q16" s="852"/>
      <c r="R16" s="852"/>
      <c r="S16" s="850"/>
      <c r="T16" s="417"/>
      <c r="U16" s="417"/>
    </row>
    <row r="17" spans="1:21" ht="15" customHeight="1" x14ac:dyDescent="0.2">
      <c r="A17" s="854" t="s">
        <v>1725</v>
      </c>
      <c r="B17" s="855"/>
      <c r="C17" s="855"/>
      <c r="D17" s="856"/>
      <c r="E17" s="467"/>
      <c r="F17" s="415"/>
      <c r="K17" s="415"/>
      <c r="O17" s="418"/>
    </row>
    <row r="18" spans="1:21" ht="15" customHeight="1" x14ac:dyDescent="0.2">
      <c r="A18" s="854" t="s">
        <v>1726</v>
      </c>
      <c r="B18" s="855"/>
      <c r="C18" s="855"/>
      <c r="D18" s="856"/>
      <c r="E18" s="468"/>
      <c r="F18" s="415"/>
      <c r="K18" s="415"/>
      <c r="O18" s="418"/>
    </row>
    <row r="19" spans="1:21" ht="15" customHeight="1" x14ac:dyDescent="0.2">
      <c r="A19" s="854" t="s">
        <v>1727</v>
      </c>
      <c r="B19" s="855"/>
      <c r="C19" s="855"/>
      <c r="D19" s="856"/>
      <c r="E19" s="469"/>
      <c r="F19" s="415"/>
      <c r="G19" s="419"/>
      <c r="H19" s="417"/>
      <c r="I19" s="417"/>
      <c r="J19" s="420"/>
      <c r="K19" s="425"/>
      <c r="N19" s="415" t="s">
        <v>1728</v>
      </c>
      <c r="O19" s="416">
        <f>IF(V_Ul_cámara_cubiertas_CamiónSolo=0,0,ROUND(Cantidad_camaras_cubiertas*Valor_cámara_cubiertas_CamiónSolo/V_Ul_cámara_cubiertas_CamiónSolo,3))</f>
        <v>0</v>
      </c>
      <c r="Q19" s="429"/>
      <c r="R19" s="430"/>
      <c r="S19" s="431"/>
      <c r="T19" s="432"/>
      <c r="U19" s="433"/>
    </row>
    <row r="20" spans="1:21" ht="15" customHeight="1" x14ac:dyDescent="0.2">
      <c r="A20" s="854" t="s">
        <v>1729</v>
      </c>
      <c r="B20" s="855"/>
      <c r="C20" s="855"/>
      <c r="D20" s="856"/>
      <c r="E20" s="463"/>
      <c r="F20" s="415"/>
      <c r="G20" s="851"/>
      <c r="H20" s="851"/>
      <c r="I20" s="417"/>
      <c r="J20" s="417"/>
      <c r="K20" s="424"/>
      <c r="O20" s="418"/>
    </row>
    <row r="21" spans="1:21" ht="15" customHeight="1" x14ac:dyDescent="0.2">
      <c r="A21" s="854" t="s">
        <v>1780</v>
      </c>
      <c r="B21" s="855"/>
      <c r="C21" s="855"/>
      <c r="D21" s="856" t="s">
        <v>1730</v>
      </c>
      <c r="E21" s="470"/>
      <c r="G21" s="862"/>
      <c r="H21" s="862"/>
      <c r="I21" s="862"/>
      <c r="K21" s="415"/>
      <c r="O21" s="418"/>
    </row>
    <row r="22" spans="1:21" ht="15" customHeight="1" x14ac:dyDescent="0.2">
      <c r="A22" s="854" t="s">
        <v>1781</v>
      </c>
      <c r="B22" s="855"/>
      <c r="C22" s="855"/>
      <c r="D22" s="856" t="s">
        <v>1731</v>
      </c>
      <c r="E22" s="471"/>
      <c r="G22" s="417"/>
      <c r="H22" s="417"/>
      <c r="I22" s="417"/>
      <c r="J22" s="417"/>
      <c r="K22" s="424"/>
      <c r="N22" s="415" t="s">
        <v>1732</v>
      </c>
      <c r="O22" s="416">
        <f>ROUND(Consumo_gasoil_CamiónSolo_porkm*Costo_gasoil*(1+Porcentaje_Lubricantes),3)</f>
        <v>0</v>
      </c>
    </row>
    <row r="23" spans="1:21" ht="15" customHeight="1" x14ac:dyDescent="0.25">
      <c r="A23" s="484"/>
      <c r="B23" s="484"/>
      <c r="C23" s="484"/>
      <c r="D23" s="484"/>
      <c r="E23" s="484"/>
      <c r="G23" s="434"/>
      <c r="H23" s="435"/>
      <c r="I23" s="436"/>
      <c r="J23" s="437"/>
      <c r="K23" s="425"/>
    </row>
    <row r="24" spans="1:21" ht="15" customHeight="1" x14ac:dyDescent="0.2">
      <c r="A24" s="417"/>
      <c r="B24" s="417"/>
      <c r="C24" s="417"/>
      <c r="D24" s="417"/>
      <c r="E24" s="417"/>
      <c r="F24" s="417"/>
      <c r="G24" s="417"/>
      <c r="H24" s="417"/>
      <c r="I24" s="417"/>
      <c r="J24" s="417"/>
      <c r="K24" s="417"/>
      <c r="L24" s="417"/>
      <c r="M24" s="417"/>
      <c r="N24" s="417"/>
      <c r="O24" s="417"/>
      <c r="P24" s="417"/>
    </row>
    <row r="25" spans="1:21" ht="15" customHeight="1" x14ac:dyDescent="0.2">
      <c r="A25" s="858" t="s">
        <v>1733</v>
      </c>
      <c r="B25" s="858"/>
      <c r="C25" s="858"/>
      <c r="D25" s="858"/>
      <c r="E25" s="858"/>
      <c r="F25" s="858"/>
      <c r="G25" s="858"/>
      <c r="H25" s="859" t="s">
        <v>1734</v>
      </c>
      <c r="I25" s="859"/>
      <c r="J25" s="859"/>
      <c r="K25" s="859"/>
      <c r="L25" s="859"/>
      <c r="M25" s="859"/>
      <c r="N25" s="859"/>
      <c r="O25" s="859"/>
      <c r="P25" s="860" t="s">
        <v>1735</v>
      </c>
    </row>
    <row r="26" spans="1:21" ht="15" customHeight="1" x14ac:dyDescent="0.2">
      <c r="A26" s="438" t="s">
        <v>1736</v>
      </c>
      <c r="B26" s="438" t="s">
        <v>1737</v>
      </c>
      <c r="C26" s="438" t="s">
        <v>1738</v>
      </c>
      <c r="D26" s="438" t="s">
        <v>1739</v>
      </c>
      <c r="E26" s="438" t="s">
        <v>1740</v>
      </c>
      <c r="F26" s="438" t="s">
        <v>1006</v>
      </c>
      <c r="G26" s="438" t="s">
        <v>1741</v>
      </c>
      <c r="H26" s="861" t="s">
        <v>1668</v>
      </c>
      <c r="I26" s="861" t="s">
        <v>1742</v>
      </c>
      <c r="J26" s="438" t="s">
        <v>1743</v>
      </c>
      <c r="K26" s="438" t="s">
        <v>1744</v>
      </c>
      <c r="L26" s="438" t="s">
        <v>1745</v>
      </c>
      <c r="M26" s="438" t="s">
        <v>1746</v>
      </c>
      <c r="N26" s="438" t="s">
        <v>1747</v>
      </c>
      <c r="O26" s="439" t="s">
        <v>1748</v>
      </c>
      <c r="P26" s="860"/>
    </row>
    <row r="27" spans="1:21" ht="15" customHeight="1" x14ac:dyDescent="0.2">
      <c r="A27" s="438" t="s">
        <v>1749</v>
      </c>
      <c r="B27" s="438" t="s">
        <v>1750</v>
      </c>
      <c r="C27" s="438" t="s">
        <v>1751</v>
      </c>
      <c r="D27" s="438" t="s">
        <v>1752</v>
      </c>
      <c r="E27" s="438" t="s">
        <v>1753</v>
      </c>
      <c r="F27" s="438" t="s">
        <v>1754</v>
      </c>
      <c r="G27" s="438" t="s">
        <v>1755</v>
      </c>
      <c r="H27" s="861"/>
      <c r="I27" s="861"/>
      <c r="J27" s="438" t="s">
        <v>1756</v>
      </c>
      <c r="K27" s="438" t="s">
        <v>1757</v>
      </c>
      <c r="L27" s="438" t="s">
        <v>1758</v>
      </c>
      <c r="M27" s="438" t="s">
        <v>1759</v>
      </c>
      <c r="N27" s="438" t="s">
        <v>1760</v>
      </c>
      <c r="O27" s="439" t="s">
        <v>1761</v>
      </c>
      <c r="P27" s="860"/>
    </row>
    <row r="28" spans="1:21" ht="15" customHeight="1" x14ac:dyDescent="0.2">
      <c r="A28" s="857" t="s">
        <v>1762</v>
      </c>
      <c r="B28" s="857" t="s">
        <v>1763</v>
      </c>
      <c r="C28" s="857" t="s">
        <v>1764</v>
      </c>
      <c r="D28" s="857" t="s">
        <v>1765</v>
      </c>
      <c r="E28" s="857" t="s">
        <v>1766</v>
      </c>
      <c r="F28" s="857" t="s">
        <v>1767</v>
      </c>
      <c r="G28" s="857" t="s">
        <v>1768</v>
      </c>
      <c r="H28" s="857" t="s">
        <v>1769</v>
      </c>
      <c r="I28" s="857" t="s">
        <v>1770</v>
      </c>
      <c r="J28" s="857" t="s">
        <v>1771</v>
      </c>
      <c r="K28" s="857" t="s">
        <v>1772</v>
      </c>
      <c r="L28" s="857" t="s">
        <v>1773</v>
      </c>
      <c r="M28" s="857" t="s">
        <v>1774</v>
      </c>
      <c r="N28" s="857" t="s">
        <v>1775</v>
      </c>
      <c r="O28" s="857" t="s">
        <v>1776</v>
      </c>
      <c r="P28" s="853" t="s">
        <v>1777</v>
      </c>
    </row>
    <row r="29" spans="1:21" ht="15" customHeight="1" x14ac:dyDescent="0.2">
      <c r="A29" s="857"/>
      <c r="B29" s="857"/>
      <c r="C29" s="857"/>
      <c r="D29" s="857"/>
      <c r="E29" s="857"/>
      <c r="F29" s="857"/>
      <c r="G29" s="857"/>
      <c r="H29" s="857"/>
      <c r="I29" s="857"/>
      <c r="J29" s="857"/>
      <c r="K29" s="857"/>
      <c r="L29" s="857"/>
      <c r="M29" s="857"/>
      <c r="N29" s="857"/>
      <c r="O29" s="857"/>
      <c r="P29" s="853"/>
    </row>
    <row r="30" spans="1:21" ht="15" customHeight="1" x14ac:dyDescent="0.2">
      <c r="A30" s="440">
        <v>1</v>
      </c>
      <c r="B30" s="441"/>
      <c r="C30" s="442">
        <f>IF(B30=0,0,(2*A30*60)/B30)</f>
        <v>0</v>
      </c>
      <c r="D30" s="443"/>
      <c r="E30" s="442">
        <f t="shared" ref="E30:E64" si="0">+C30+D30</f>
        <v>0</v>
      </c>
      <c r="F30" s="444"/>
      <c r="G30" s="445">
        <f t="shared" ref="G30:G64" si="1">+A30*2</f>
        <v>2</v>
      </c>
      <c r="H30" s="446">
        <f t="shared" ref="H30:H64" si="2">A*(E30/60)</f>
        <v>0</v>
      </c>
      <c r="I30" s="446">
        <f t="shared" ref="I30:I38" si="3">B*(E30/60)</f>
        <v>0</v>
      </c>
      <c r="J30" s="446">
        <f t="shared" ref="J30:J38" si="4">C_*(C30/60)</f>
        <v>0</v>
      </c>
      <c r="K30" s="446">
        <f t="shared" ref="K30:K38" si="5">D*(E30/60)</f>
        <v>0</v>
      </c>
      <c r="L30" s="446">
        <f t="shared" ref="L30:L38" si="6">E*(E30/60)</f>
        <v>0</v>
      </c>
      <c r="M30" s="446">
        <f t="shared" ref="M30:M38" si="7">+G30*F_</f>
        <v>0</v>
      </c>
      <c r="N30" s="446">
        <f t="shared" ref="N30:N38" si="8">Mano_Obra_Lavado*(E30/60)</f>
        <v>0</v>
      </c>
      <c r="O30" s="446">
        <f t="shared" ref="O30:O38" si="9">+G30*G</f>
        <v>0</v>
      </c>
      <c r="P30" s="447">
        <f>IF(F30=0,0,ROUND(SUM(H30:O30)/F30,3))</f>
        <v>0</v>
      </c>
      <c r="R30" s="448"/>
    </row>
    <row r="31" spans="1:21" ht="15" customHeight="1" x14ac:dyDescent="0.2">
      <c r="A31" s="440">
        <v>1.5</v>
      </c>
      <c r="B31" s="441"/>
      <c r="C31" s="442">
        <f t="shared" ref="C31:C64" si="10">IF(B31=0,0,(2*A31*60)/B31)</f>
        <v>0</v>
      </c>
      <c r="D31" s="443"/>
      <c r="E31" s="442">
        <f t="shared" si="0"/>
        <v>0</v>
      </c>
      <c r="F31" s="444"/>
      <c r="G31" s="445">
        <f t="shared" si="1"/>
        <v>3</v>
      </c>
      <c r="H31" s="446">
        <f t="shared" si="2"/>
        <v>0</v>
      </c>
      <c r="I31" s="446">
        <f t="shared" si="3"/>
        <v>0</v>
      </c>
      <c r="J31" s="446">
        <f t="shared" si="4"/>
        <v>0</v>
      </c>
      <c r="K31" s="446">
        <f t="shared" si="5"/>
        <v>0</v>
      </c>
      <c r="L31" s="446">
        <f t="shared" si="6"/>
        <v>0</v>
      </c>
      <c r="M31" s="446">
        <f t="shared" si="7"/>
        <v>0</v>
      </c>
      <c r="N31" s="446">
        <f t="shared" si="8"/>
        <v>0</v>
      </c>
      <c r="O31" s="446">
        <f t="shared" si="9"/>
        <v>0</v>
      </c>
      <c r="P31" s="447">
        <f t="shared" ref="P31:P64" si="11">IF(F31=0,0,ROUND(SUM(H31:O31)/F31,3))</f>
        <v>0</v>
      </c>
      <c r="R31" s="448"/>
    </row>
    <row r="32" spans="1:21" ht="15" customHeight="1" x14ac:dyDescent="0.2">
      <c r="A32" s="440">
        <v>2</v>
      </c>
      <c r="B32" s="441"/>
      <c r="C32" s="442">
        <f t="shared" si="10"/>
        <v>0</v>
      </c>
      <c r="D32" s="443"/>
      <c r="E32" s="442">
        <f t="shared" si="0"/>
        <v>0</v>
      </c>
      <c r="F32" s="444"/>
      <c r="G32" s="445">
        <f t="shared" si="1"/>
        <v>4</v>
      </c>
      <c r="H32" s="446">
        <f t="shared" si="2"/>
        <v>0</v>
      </c>
      <c r="I32" s="446">
        <f t="shared" si="3"/>
        <v>0</v>
      </c>
      <c r="J32" s="446">
        <f t="shared" si="4"/>
        <v>0</v>
      </c>
      <c r="K32" s="446">
        <f t="shared" si="5"/>
        <v>0</v>
      </c>
      <c r="L32" s="446">
        <f t="shared" si="6"/>
        <v>0</v>
      </c>
      <c r="M32" s="446">
        <f t="shared" si="7"/>
        <v>0</v>
      </c>
      <c r="N32" s="446">
        <f t="shared" si="8"/>
        <v>0</v>
      </c>
      <c r="O32" s="446">
        <f t="shared" si="9"/>
        <v>0</v>
      </c>
      <c r="P32" s="447">
        <f t="shared" si="11"/>
        <v>0</v>
      </c>
      <c r="R32" s="448"/>
    </row>
    <row r="33" spans="1:18" ht="15" customHeight="1" x14ac:dyDescent="0.2">
      <c r="A33" s="440">
        <v>2.5</v>
      </c>
      <c r="B33" s="441"/>
      <c r="C33" s="442">
        <f t="shared" si="10"/>
        <v>0</v>
      </c>
      <c r="D33" s="443"/>
      <c r="E33" s="442">
        <f t="shared" si="0"/>
        <v>0</v>
      </c>
      <c r="F33" s="444"/>
      <c r="G33" s="445">
        <f t="shared" si="1"/>
        <v>5</v>
      </c>
      <c r="H33" s="446">
        <f t="shared" si="2"/>
        <v>0</v>
      </c>
      <c r="I33" s="446">
        <f t="shared" si="3"/>
        <v>0</v>
      </c>
      <c r="J33" s="446">
        <f t="shared" si="4"/>
        <v>0</v>
      </c>
      <c r="K33" s="446">
        <f t="shared" si="5"/>
        <v>0</v>
      </c>
      <c r="L33" s="446">
        <f t="shared" si="6"/>
        <v>0</v>
      </c>
      <c r="M33" s="446">
        <f t="shared" si="7"/>
        <v>0</v>
      </c>
      <c r="N33" s="446">
        <f t="shared" si="8"/>
        <v>0</v>
      </c>
      <c r="O33" s="446">
        <f t="shared" si="9"/>
        <v>0</v>
      </c>
      <c r="P33" s="447">
        <f t="shared" si="11"/>
        <v>0</v>
      </c>
      <c r="R33" s="448"/>
    </row>
    <row r="34" spans="1:18" ht="15" customHeight="1" x14ac:dyDescent="0.2">
      <c r="A34" s="440">
        <v>3</v>
      </c>
      <c r="B34" s="441"/>
      <c r="C34" s="442">
        <f t="shared" si="10"/>
        <v>0</v>
      </c>
      <c r="D34" s="443"/>
      <c r="E34" s="442">
        <f t="shared" si="0"/>
        <v>0</v>
      </c>
      <c r="F34" s="444"/>
      <c r="G34" s="445">
        <f t="shared" si="1"/>
        <v>6</v>
      </c>
      <c r="H34" s="446">
        <f t="shared" si="2"/>
        <v>0</v>
      </c>
      <c r="I34" s="446">
        <f t="shared" si="3"/>
        <v>0</v>
      </c>
      <c r="J34" s="446">
        <f t="shared" si="4"/>
        <v>0</v>
      </c>
      <c r="K34" s="446">
        <f t="shared" si="5"/>
        <v>0</v>
      </c>
      <c r="L34" s="446">
        <f t="shared" si="6"/>
        <v>0</v>
      </c>
      <c r="M34" s="446">
        <f t="shared" si="7"/>
        <v>0</v>
      </c>
      <c r="N34" s="446">
        <f t="shared" si="8"/>
        <v>0</v>
      </c>
      <c r="O34" s="446">
        <f t="shared" si="9"/>
        <v>0</v>
      </c>
      <c r="P34" s="447">
        <f t="shared" si="11"/>
        <v>0</v>
      </c>
      <c r="R34" s="448"/>
    </row>
    <row r="35" spans="1:18" ht="15" customHeight="1" x14ac:dyDescent="0.2">
      <c r="A35" s="440">
        <v>3.5</v>
      </c>
      <c r="B35" s="441"/>
      <c r="C35" s="442">
        <f t="shared" si="10"/>
        <v>0</v>
      </c>
      <c r="D35" s="443"/>
      <c r="E35" s="442">
        <f t="shared" si="0"/>
        <v>0</v>
      </c>
      <c r="F35" s="444"/>
      <c r="G35" s="445">
        <f t="shared" si="1"/>
        <v>7</v>
      </c>
      <c r="H35" s="446">
        <f t="shared" si="2"/>
        <v>0</v>
      </c>
      <c r="I35" s="446">
        <f t="shared" si="3"/>
        <v>0</v>
      </c>
      <c r="J35" s="446">
        <f t="shared" si="4"/>
        <v>0</v>
      </c>
      <c r="K35" s="446">
        <f t="shared" si="5"/>
        <v>0</v>
      </c>
      <c r="L35" s="446">
        <f t="shared" si="6"/>
        <v>0</v>
      </c>
      <c r="M35" s="446">
        <f t="shared" si="7"/>
        <v>0</v>
      </c>
      <c r="N35" s="446">
        <f t="shared" si="8"/>
        <v>0</v>
      </c>
      <c r="O35" s="446">
        <f t="shared" si="9"/>
        <v>0</v>
      </c>
      <c r="P35" s="447">
        <f t="shared" si="11"/>
        <v>0</v>
      </c>
      <c r="R35" s="448"/>
    </row>
    <row r="36" spans="1:18" ht="15" customHeight="1" x14ac:dyDescent="0.2">
      <c r="A36" s="440">
        <v>4</v>
      </c>
      <c r="B36" s="441"/>
      <c r="C36" s="442">
        <f t="shared" si="10"/>
        <v>0</v>
      </c>
      <c r="D36" s="443"/>
      <c r="E36" s="442">
        <f t="shared" si="0"/>
        <v>0</v>
      </c>
      <c r="F36" s="444"/>
      <c r="G36" s="445">
        <f t="shared" si="1"/>
        <v>8</v>
      </c>
      <c r="H36" s="446">
        <f t="shared" si="2"/>
        <v>0</v>
      </c>
      <c r="I36" s="446">
        <f t="shared" si="3"/>
        <v>0</v>
      </c>
      <c r="J36" s="446">
        <f t="shared" si="4"/>
        <v>0</v>
      </c>
      <c r="K36" s="446">
        <f t="shared" si="5"/>
        <v>0</v>
      </c>
      <c r="L36" s="446">
        <f t="shared" si="6"/>
        <v>0</v>
      </c>
      <c r="M36" s="446">
        <f t="shared" si="7"/>
        <v>0</v>
      </c>
      <c r="N36" s="446">
        <f t="shared" si="8"/>
        <v>0</v>
      </c>
      <c r="O36" s="446">
        <f t="shared" si="9"/>
        <v>0</v>
      </c>
      <c r="P36" s="447">
        <f t="shared" si="11"/>
        <v>0</v>
      </c>
      <c r="R36" s="448"/>
    </row>
    <row r="37" spans="1:18" ht="15" customHeight="1" x14ac:dyDescent="0.2">
      <c r="A37" s="440">
        <v>4.5</v>
      </c>
      <c r="B37" s="441"/>
      <c r="C37" s="442">
        <f t="shared" si="10"/>
        <v>0</v>
      </c>
      <c r="D37" s="443"/>
      <c r="E37" s="442">
        <f t="shared" si="0"/>
        <v>0</v>
      </c>
      <c r="F37" s="444"/>
      <c r="G37" s="445">
        <f t="shared" si="1"/>
        <v>9</v>
      </c>
      <c r="H37" s="446">
        <f t="shared" si="2"/>
        <v>0</v>
      </c>
      <c r="I37" s="446">
        <f t="shared" si="3"/>
        <v>0</v>
      </c>
      <c r="J37" s="446">
        <f t="shared" si="4"/>
        <v>0</v>
      </c>
      <c r="K37" s="446">
        <f t="shared" si="5"/>
        <v>0</v>
      </c>
      <c r="L37" s="446">
        <f t="shared" si="6"/>
        <v>0</v>
      </c>
      <c r="M37" s="446">
        <f t="shared" si="7"/>
        <v>0</v>
      </c>
      <c r="N37" s="446">
        <f t="shared" si="8"/>
        <v>0</v>
      </c>
      <c r="O37" s="446">
        <f t="shared" si="9"/>
        <v>0</v>
      </c>
      <c r="P37" s="447">
        <f t="shared" si="11"/>
        <v>0</v>
      </c>
      <c r="R37" s="448"/>
    </row>
    <row r="38" spans="1:18" ht="15" customHeight="1" x14ac:dyDescent="0.2">
      <c r="A38" s="440">
        <v>5</v>
      </c>
      <c r="B38" s="441"/>
      <c r="C38" s="442">
        <f t="shared" si="10"/>
        <v>0</v>
      </c>
      <c r="D38" s="443"/>
      <c r="E38" s="442">
        <f t="shared" si="0"/>
        <v>0</v>
      </c>
      <c r="F38" s="444"/>
      <c r="G38" s="445">
        <f t="shared" si="1"/>
        <v>10</v>
      </c>
      <c r="H38" s="446">
        <f t="shared" si="2"/>
        <v>0</v>
      </c>
      <c r="I38" s="446">
        <f t="shared" si="3"/>
        <v>0</v>
      </c>
      <c r="J38" s="446">
        <f t="shared" si="4"/>
        <v>0</v>
      </c>
      <c r="K38" s="446">
        <f t="shared" si="5"/>
        <v>0</v>
      </c>
      <c r="L38" s="446">
        <f t="shared" si="6"/>
        <v>0</v>
      </c>
      <c r="M38" s="446">
        <f t="shared" si="7"/>
        <v>0</v>
      </c>
      <c r="N38" s="446">
        <f t="shared" si="8"/>
        <v>0</v>
      </c>
      <c r="O38" s="446">
        <f t="shared" si="9"/>
        <v>0</v>
      </c>
      <c r="P38" s="447">
        <f t="shared" si="11"/>
        <v>0</v>
      </c>
      <c r="R38" s="448"/>
    </row>
    <row r="39" spans="1:18" ht="15" customHeight="1" x14ac:dyDescent="0.2">
      <c r="A39" s="440">
        <v>6</v>
      </c>
      <c r="B39" s="441"/>
      <c r="C39" s="442">
        <f t="shared" si="10"/>
        <v>0</v>
      </c>
      <c r="D39" s="443"/>
      <c r="E39" s="442">
        <f t="shared" si="0"/>
        <v>0</v>
      </c>
      <c r="F39" s="444"/>
      <c r="G39" s="445">
        <f t="shared" si="1"/>
        <v>12</v>
      </c>
      <c r="H39" s="446">
        <f t="shared" si="2"/>
        <v>0</v>
      </c>
      <c r="I39" s="446">
        <f t="shared" ref="I39:I64" si="12">B*(E39/60)</f>
        <v>0</v>
      </c>
      <c r="J39" s="446">
        <f t="shared" ref="J39:J64" si="13">C_*(C39/60)</f>
        <v>0</v>
      </c>
      <c r="K39" s="446">
        <f t="shared" ref="K39:K64" si="14">D*(E39/60)</f>
        <v>0</v>
      </c>
      <c r="L39" s="446">
        <f t="shared" ref="L39:L64" si="15">E*(E39/60)</f>
        <v>0</v>
      </c>
      <c r="M39" s="446">
        <f t="shared" ref="M39:M64" si="16">+G39*F_</f>
        <v>0</v>
      </c>
      <c r="N39" s="446">
        <f t="shared" ref="N39:N64" si="17">Mano_Obra_Lavado*(E39/60)</f>
        <v>0</v>
      </c>
      <c r="O39" s="446">
        <f t="shared" ref="O39:O64" si="18">+G39*G</f>
        <v>0</v>
      </c>
      <c r="P39" s="447">
        <f t="shared" si="11"/>
        <v>0</v>
      </c>
      <c r="R39" s="448"/>
    </row>
    <row r="40" spans="1:18" ht="15" customHeight="1" x14ac:dyDescent="0.2">
      <c r="A40" s="440">
        <v>7</v>
      </c>
      <c r="B40" s="441"/>
      <c r="C40" s="442">
        <f t="shared" si="10"/>
        <v>0</v>
      </c>
      <c r="D40" s="443"/>
      <c r="E40" s="442">
        <f t="shared" si="0"/>
        <v>0</v>
      </c>
      <c r="F40" s="444"/>
      <c r="G40" s="445">
        <f t="shared" si="1"/>
        <v>14</v>
      </c>
      <c r="H40" s="446">
        <f t="shared" si="2"/>
        <v>0</v>
      </c>
      <c r="I40" s="446">
        <f t="shared" si="12"/>
        <v>0</v>
      </c>
      <c r="J40" s="446">
        <f t="shared" si="13"/>
        <v>0</v>
      </c>
      <c r="K40" s="446">
        <f t="shared" si="14"/>
        <v>0</v>
      </c>
      <c r="L40" s="446">
        <f t="shared" si="15"/>
        <v>0</v>
      </c>
      <c r="M40" s="446">
        <f t="shared" si="16"/>
        <v>0</v>
      </c>
      <c r="N40" s="446">
        <f t="shared" si="17"/>
        <v>0</v>
      </c>
      <c r="O40" s="446">
        <f t="shared" si="18"/>
        <v>0</v>
      </c>
      <c r="P40" s="447">
        <f t="shared" si="11"/>
        <v>0</v>
      </c>
      <c r="R40" s="448"/>
    </row>
    <row r="41" spans="1:18" ht="15" customHeight="1" x14ac:dyDescent="0.2">
      <c r="A41" s="440">
        <v>8</v>
      </c>
      <c r="B41" s="441"/>
      <c r="C41" s="442">
        <f t="shared" si="10"/>
        <v>0</v>
      </c>
      <c r="D41" s="443"/>
      <c r="E41" s="442">
        <f t="shared" si="0"/>
        <v>0</v>
      </c>
      <c r="F41" s="444"/>
      <c r="G41" s="445">
        <f t="shared" si="1"/>
        <v>16</v>
      </c>
      <c r="H41" s="446">
        <f t="shared" si="2"/>
        <v>0</v>
      </c>
      <c r="I41" s="446">
        <f t="shared" si="12"/>
        <v>0</v>
      </c>
      <c r="J41" s="446">
        <f t="shared" si="13"/>
        <v>0</v>
      </c>
      <c r="K41" s="446">
        <f t="shared" si="14"/>
        <v>0</v>
      </c>
      <c r="L41" s="446">
        <f t="shared" si="15"/>
        <v>0</v>
      </c>
      <c r="M41" s="446">
        <f t="shared" si="16"/>
        <v>0</v>
      </c>
      <c r="N41" s="446">
        <f t="shared" si="17"/>
        <v>0</v>
      </c>
      <c r="O41" s="446">
        <f t="shared" si="18"/>
        <v>0</v>
      </c>
      <c r="P41" s="447">
        <f t="shared" si="11"/>
        <v>0</v>
      </c>
      <c r="R41" s="448"/>
    </row>
    <row r="42" spans="1:18" ht="15" customHeight="1" x14ac:dyDescent="0.2">
      <c r="A42" s="440">
        <v>9</v>
      </c>
      <c r="B42" s="441"/>
      <c r="C42" s="442">
        <f t="shared" si="10"/>
        <v>0</v>
      </c>
      <c r="D42" s="443"/>
      <c r="E42" s="442">
        <f t="shared" si="0"/>
        <v>0</v>
      </c>
      <c r="F42" s="444"/>
      <c r="G42" s="445">
        <f t="shared" si="1"/>
        <v>18</v>
      </c>
      <c r="H42" s="446">
        <f t="shared" si="2"/>
        <v>0</v>
      </c>
      <c r="I42" s="446">
        <f t="shared" si="12"/>
        <v>0</v>
      </c>
      <c r="J42" s="446">
        <f t="shared" si="13"/>
        <v>0</v>
      </c>
      <c r="K42" s="446">
        <f t="shared" si="14"/>
        <v>0</v>
      </c>
      <c r="L42" s="446">
        <f t="shared" si="15"/>
        <v>0</v>
      </c>
      <c r="M42" s="446">
        <f t="shared" si="16"/>
        <v>0</v>
      </c>
      <c r="N42" s="446">
        <f t="shared" si="17"/>
        <v>0</v>
      </c>
      <c r="O42" s="446">
        <f t="shared" si="18"/>
        <v>0</v>
      </c>
      <c r="P42" s="447">
        <f t="shared" si="11"/>
        <v>0</v>
      </c>
      <c r="R42" s="448"/>
    </row>
    <row r="43" spans="1:18" ht="15" customHeight="1" x14ac:dyDescent="0.2">
      <c r="A43" s="440">
        <v>10</v>
      </c>
      <c r="B43" s="441"/>
      <c r="C43" s="442">
        <f t="shared" si="10"/>
        <v>0</v>
      </c>
      <c r="D43" s="443"/>
      <c r="E43" s="442">
        <f t="shared" si="0"/>
        <v>0</v>
      </c>
      <c r="F43" s="444"/>
      <c r="G43" s="445">
        <f t="shared" si="1"/>
        <v>20</v>
      </c>
      <c r="H43" s="446">
        <f t="shared" si="2"/>
        <v>0</v>
      </c>
      <c r="I43" s="446">
        <f t="shared" si="12"/>
        <v>0</v>
      </c>
      <c r="J43" s="446">
        <f t="shared" si="13"/>
        <v>0</v>
      </c>
      <c r="K43" s="446">
        <f t="shared" si="14"/>
        <v>0</v>
      </c>
      <c r="L43" s="446">
        <f t="shared" si="15"/>
        <v>0</v>
      </c>
      <c r="M43" s="446">
        <f t="shared" si="16"/>
        <v>0</v>
      </c>
      <c r="N43" s="446">
        <f t="shared" si="17"/>
        <v>0</v>
      </c>
      <c r="O43" s="446">
        <f t="shared" si="18"/>
        <v>0</v>
      </c>
      <c r="P43" s="447">
        <f t="shared" si="11"/>
        <v>0</v>
      </c>
      <c r="R43" s="448"/>
    </row>
    <row r="44" spans="1:18" ht="15" customHeight="1" x14ac:dyDescent="0.2">
      <c r="A44" s="440">
        <v>12</v>
      </c>
      <c r="B44" s="441"/>
      <c r="C44" s="442">
        <f t="shared" si="10"/>
        <v>0</v>
      </c>
      <c r="D44" s="443"/>
      <c r="E44" s="442">
        <f t="shared" si="0"/>
        <v>0</v>
      </c>
      <c r="F44" s="444"/>
      <c r="G44" s="445">
        <f t="shared" si="1"/>
        <v>24</v>
      </c>
      <c r="H44" s="446">
        <f t="shared" si="2"/>
        <v>0</v>
      </c>
      <c r="I44" s="446">
        <f t="shared" si="12"/>
        <v>0</v>
      </c>
      <c r="J44" s="446">
        <f t="shared" si="13"/>
        <v>0</v>
      </c>
      <c r="K44" s="446">
        <f t="shared" si="14"/>
        <v>0</v>
      </c>
      <c r="L44" s="446">
        <f t="shared" si="15"/>
        <v>0</v>
      </c>
      <c r="M44" s="446">
        <f t="shared" si="16"/>
        <v>0</v>
      </c>
      <c r="N44" s="446">
        <f t="shared" si="17"/>
        <v>0</v>
      </c>
      <c r="O44" s="446">
        <f t="shared" si="18"/>
        <v>0</v>
      </c>
      <c r="P44" s="447">
        <f t="shared" si="11"/>
        <v>0</v>
      </c>
      <c r="R44" s="448"/>
    </row>
    <row r="45" spans="1:18" ht="15" customHeight="1" x14ac:dyDescent="0.2">
      <c r="A45" s="440">
        <v>15</v>
      </c>
      <c r="B45" s="441"/>
      <c r="C45" s="442">
        <f t="shared" si="10"/>
        <v>0</v>
      </c>
      <c r="D45" s="443"/>
      <c r="E45" s="442">
        <f t="shared" si="0"/>
        <v>0</v>
      </c>
      <c r="F45" s="444"/>
      <c r="G45" s="445">
        <f t="shared" si="1"/>
        <v>30</v>
      </c>
      <c r="H45" s="446">
        <f t="shared" si="2"/>
        <v>0</v>
      </c>
      <c r="I45" s="446">
        <f t="shared" si="12"/>
        <v>0</v>
      </c>
      <c r="J45" s="446">
        <f t="shared" si="13"/>
        <v>0</v>
      </c>
      <c r="K45" s="446">
        <f t="shared" si="14"/>
        <v>0</v>
      </c>
      <c r="L45" s="446">
        <f t="shared" si="15"/>
        <v>0</v>
      </c>
      <c r="M45" s="446">
        <f t="shared" si="16"/>
        <v>0</v>
      </c>
      <c r="N45" s="446">
        <f t="shared" si="17"/>
        <v>0</v>
      </c>
      <c r="O45" s="446">
        <f t="shared" si="18"/>
        <v>0</v>
      </c>
      <c r="P45" s="447">
        <f t="shared" si="11"/>
        <v>0</v>
      </c>
      <c r="R45" s="448"/>
    </row>
    <row r="46" spans="1:18" ht="15" customHeight="1" x14ac:dyDescent="0.2">
      <c r="A46" s="440">
        <v>17</v>
      </c>
      <c r="B46" s="441"/>
      <c r="C46" s="442">
        <f t="shared" si="10"/>
        <v>0</v>
      </c>
      <c r="D46" s="443"/>
      <c r="E46" s="442">
        <f t="shared" si="0"/>
        <v>0</v>
      </c>
      <c r="F46" s="444"/>
      <c r="G46" s="445">
        <f t="shared" si="1"/>
        <v>34</v>
      </c>
      <c r="H46" s="446">
        <f t="shared" si="2"/>
        <v>0</v>
      </c>
      <c r="I46" s="446">
        <f t="shared" si="12"/>
        <v>0</v>
      </c>
      <c r="J46" s="446">
        <f t="shared" si="13"/>
        <v>0</v>
      </c>
      <c r="K46" s="446">
        <f t="shared" si="14"/>
        <v>0</v>
      </c>
      <c r="L46" s="446">
        <f t="shared" si="15"/>
        <v>0</v>
      </c>
      <c r="M46" s="446">
        <f t="shared" si="16"/>
        <v>0</v>
      </c>
      <c r="N46" s="446">
        <f t="shared" si="17"/>
        <v>0</v>
      </c>
      <c r="O46" s="446">
        <f t="shared" si="18"/>
        <v>0</v>
      </c>
      <c r="P46" s="447">
        <f t="shared" si="11"/>
        <v>0</v>
      </c>
      <c r="R46" s="448"/>
    </row>
    <row r="47" spans="1:18" ht="15" customHeight="1" x14ac:dyDescent="0.2">
      <c r="A47" s="440">
        <v>19</v>
      </c>
      <c r="B47" s="441"/>
      <c r="C47" s="442">
        <f t="shared" si="10"/>
        <v>0</v>
      </c>
      <c r="D47" s="443"/>
      <c r="E47" s="442">
        <f t="shared" si="0"/>
        <v>0</v>
      </c>
      <c r="F47" s="444"/>
      <c r="G47" s="445">
        <f t="shared" si="1"/>
        <v>38</v>
      </c>
      <c r="H47" s="446">
        <f t="shared" si="2"/>
        <v>0</v>
      </c>
      <c r="I47" s="446">
        <f t="shared" si="12"/>
        <v>0</v>
      </c>
      <c r="J47" s="446">
        <f t="shared" si="13"/>
        <v>0</v>
      </c>
      <c r="K47" s="446">
        <f t="shared" si="14"/>
        <v>0</v>
      </c>
      <c r="L47" s="446">
        <f t="shared" si="15"/>
        <v>0</v>
      </c>
      <c r="M47" s="446">
        <f t="shared" si="16"/>
        <v>0</v>
      </c>
      <c r="N47" s="446">
        <f t="shared" si="17"/>
        <v>0</v>
      </c>
      <c r="O47" s="446">
        <f t="shared" si="18"/>
        <v>0</v>
      </c>
      <c r="P47" s="447">
        <f t="shared" si="11"/>
        <v>0</v>
      </c>
      <c r="R47" s="448"/>
    </row>
    <row r="48" spans="1:18" ht="15" customHeight="1" x14ac:dyDescent="0.2">
      <c r="A48" s="440">
        <v>20</v>
      </c>
      <c r="B48" s="441"/>
      <c r="C48" s="442">
        <f t="shared" si="10"/>
        <v>0</v>
      </c>
      <c r="D48" s="443"/>
      <c r="E48" s="442">
        <f t="shared" si="0"/>
        <v>0</v>
      </c>
      <c r="F48" s="444"/>
      <c r="G48" s="445">
        <f t="shared" si="1"/>
        <v>40</v>
      </c>
      <c r="H48" s="446">
        <f t="shared" si="2"/>
        <v>0</v>
      </c>
      <c r="I48" s="446">
        <f t="shared" si="12"/>
        <v>0</v>
      </c>
      <c r="J48" s="446">
        <f t="shared" si="13"/>
        <v>0</v>
      </c>
      <c r="K48" s="446">
        <f t="shared" si="14"/>
        <v>0</v>
      </c>
      <c r="L48" s="446">
        <f t="shared" si="15"/>
        <v>0</v>
      </c>
      <c r="M48" s="446">
        <f t="shared" si="16"/>
        <v>0</v>
      </c>
      <c r="N48" s="446">
        <f t="shared" si="17"/>
        <v>0</v>
      </c>
      <c r="O48" s="446">
        <f t="shared" si="18"/>
        <v>0</v>
      </c>
      <c r="P48" s="447">
        <f t="shared" si="11"/>
        <v>0</v>
      </c>
      <c r="R48" s="448"/>
    </row>
    <row r="49" spans="1:18" ht="15" customHeight="1" x14ac:dyDescent="0.2">
      <c r="A49" s="440">
        <v>25</v>
      </c>
      <c r="B49" s="441"/>
      <c r="C49" s="442">
        <f t="shared" si="10"/>
        <v>0</v>
      </c>
      <c r="D49" s="443"/>
      <c r="E49" s="442">
        <f t="shared" si="0"/>
        <v>0</v>
      </c>
      <c r="F49" s="444"/>
      <c r="G49" s="445">
        <f t="shared" si="1"/>
        <v>50</v>
      </c>
      <c r="H49" s="446">
        <f t="shared" si="2"/>
        <v>0</v>
      </c>
      <c r="I49" s="446">
        <f t="shared" si="12"/>
        <v>0</v>
      </c>
      <c r="J49" s="446">
        <f t="shared" si="13"/>
        <v>0</v>
      </c>
      <c r="K49" s="446">
        <f t="shared" si="14"/>
        <v>0</v>
      </c>
      <c r="L49" s="446">
        <f t="shared" si="15"/>
        <v>0</v>
      </c>
      <c r="M49" s="446">
        <f t="shared" si="16"/>
        <v>0</v>
      </c>
      <c r="N49" s="446">
        <f t="shared" si="17"/>
        <v>0</v>
      </c>
      <c r="O49" s="446">
        <f t="shared" si="18"/>
        <v>0</v>
      </c>
      <c r="P49" s="447">
        <f t="shared" si="11"/>
        <v>0</v>
      </c>
      <c r="R49" s="448"/>
    </row>
    <row r="50" spans="1:18" ht="15" customHeight="1" x14ac:dyDescent="0.2">
      <c r="A50" s="440">
        <v>30</v>
      </c>
      <c r="B50" s="441"/>
      <c r="C50" s="442">
        <f t="shared" si="10"/>
        <v>0</v>
      </c>
      <c r="D50" s="443"/>
      <c r="E50" s="442">
        <f t="shared" si="0"/>
        <v>0</v>
      </c>
      <c r="F50" s="444"/>
      <c r="G50" s="445">
        <f t="shared" si="1"/>
        <v>60</v>
      </c>
      <c r="H50" s="446">
        <f t="shared" si="2"/>
        <v>0</v>
      </c>
      <c r="I50" s="446">
        <f t="shared" si="12"/>
        <v>0</v>
      </c>
      <c r="J50" s="446">
        <f t="shared" si="13"/>
        <v>0</v>
      </c>
      <c r="K50" s="446">
        <f t="shared" si="14"/>
        <v>0</v>
      </c>
      <c r="L50" s="446">
        <f t="shared" si="15"/>
        <v>0</v>
      </c>
      <c r="M50" s="446">
        <f t="shared" si="16"/>
        <v>0</v>
      </c>
      <c r="N50" s="446">
        <f t="shared" si="17"/>
        <v>0</v>
      </c>
      <c r="O50" s="446">
        <f t="shared" si="18"/>
        <v>0</v>
      </c>
      <c r="P50" s="447">
        <f t="shared" si="11"/>
        <v>0</v>
      </c>
      <c r="R50" s="448"/>
    </row>
    <row r="51" spans="1:18" ht="15" customHeight="1" x14ac:dyDescent="0.2">
      <c r="A51" s="440">
        <v>35</v>
      </c>
      <c r="B51" s="441"/>
      <c r="C51" s="442">
        <f t="shared" si="10"/>
        <v>0</v>
      </c>
      <c r="D51" s="443"/>
      <c r="E51" s="442">
        <f t="shared" si="0"/>
        <v>0</v>
      </c>
      <c r="F51" s="444"/>
      <c r="G51" s="445">
        <f t="shared" si="1"/>
        <v>70</v>
      </c>
      <c r="H51" s="446">
        <f t="shared" si="2"/>
        <v>0</v>
      </c>
      <c r="I51" s="446">
        <f t="shared" si="12"/>
        <v>0</v>
      </c>
      <c r="J51" s="446">
        <f t="shared" si="13"/>
        <v>0</v>
      </c>
      <c r="K51" s="446">
        <f t="shared" si="14"/>
        <v>0</v>
      </c>
      <c r="L51" s="446">
        <f t="shared" si="15"/>
        <v>0</v>
      </c>
      <c r="M51" s="446">
        <f t="shared" si="16"/>
        <v>0</v>
      </c>
      <c r="N51" s="446">
        <f t="shared" si="17"/>
        <v>0</v>
      </c>
      <c r="O51" s="446">
        <f t="shared" si="18"/>
        <v>0</v>
      </c>
      <c r="P51" s="447">
        <f t="shared" si="11"/>
        <v>0</v>
      </c>
      <c r="R51" s="448"/>
    </row>
    <row r="52" spans="1:18" ht="15" customHeight="1" x14ac:dyDescent="0.2">
      <c r="A52" s="440">
        <v>40</v>
      </c>
      <c r="B52" s="441"/>
      <c r="C52" s="442">
        <f t="shared" si="10"/>
        <v>0</v>
      </c>
      <c r="D52" s="443"/>
      <c r="E52" s="442">
        <f t="shared" si="0"/>
        <v>0</v>
      </c>
      <c r="F52" s="444"/>
      <c r="G52" s="445">
        <f t="shared" si="1"/>
        <v>80</v>
      </c>
      <c r="H52" s="446">
        <f t="shared" si="2"/>
        <v>0</v>
      </c>
      <c r="I52" s="446">
        <f t="shared" si="12"/>
        <v>0</v>
      </c>
      <c r="J52" s="446">
        <f t="shared" si="13"/>
        <v>0</v>
      </c>
      <c r="K52" s="446">
        <f t="shared" si="14"/>
        <v>0</v>
      </c>
      <c r="L52" s="446">
        <f t="shared" si="15"/>
        <v>0</v>
      </c>
      <c r="M52" s="446">
        <f t="shared" si="16"/>
        <v>0</v>
      </c>
      <c r="N52" s="446">
        <f t="shared" si="17"/>
        <v>0</v>
      </c>
      <c r="O52" s="446">
        <f t="shared" si="18"/>
        <v>0</v>
      </c>
      <c r="P52" s="447">
        <f t="shared" si="11"/>
        <v>0</v>
      </c>
      <c r="R52" s="448"/>
    </row>
    <row r="53" spans="1:18" ht="15" customHeight="1" x14ac:dyDescent="0.2">
      <c r="A53" s="440">
        <v>45</v>
      </c>
      <c r="B53" s="441"/>
      <c r="C53" s="442">
        <f t="shared" si="10"/>
        <v>0</v>
      </c>
      <c r="D53" s="443"/>
      <c r="E53" s="442">
        <f t="shared" si="0"/>
        <v>0</v>
      </c>
      <c r="F53" s="444"/>
      <c r="G53" s="445">
        <f t="shared" si="1"/>
        <v>90</v>
      </c>
      <c r="H53" s="446">
        <f t="shared" si="2"/>
        <v>0</v>
      </c>
      <c r="I53" s="446">
        <f t="shared" si="12"/>
        <v>0</v>
      </c>
      <c r="J53" s="446">
        <f t="shared" si="13"/>
        <v>0</v>
      </c>
      <c r="K53" s="446">
        <f t="shared" si="14"/>
        <v>0</v>
      </c>
      <c r="L53" s="446">
        <f t="shared" si="15"/>
        <v>0</v>
      </c>
      <c r="M53" s="446">
        <f t="shared" si="16"/>
        <v>0</v>
      </c>
      <c r="N53" s="446">
        <f t="shared" si="17"/>
        <v>0</v>
      </c>
      <c r="O53" s="446">
        <f t="shared" si="18"/>
        <v>0</v>
      </c>
      <c r="P53" s="447">
        <f t="shared" si="11"/>
        <v>0</v>
      </c>
      <c r="R53" s="448"/>
    </row>
    <row r="54" spans="1:18" ht="15" customHeight="1" x14ac:dyDescent="0.2">
      <c r="A54" s="440">
        <v>50</v>
      </c>
      <c r="B54" s="441"/>
      <c r="C54" s="442">
        <f t="shared" si="10"/>
        <v>0</v>
      </c>
      <c r="D54" s="443"/>
      <c r="E54" s="442">
        <f t="shared" si="0"/>
        <v>0</v>
      </c>
      <c r="F54" s="444"/>
      <c r="G54" s="445">
        <f t="shared" si="1"/>
        <v>100</v>
      </c>
      <c r="H54" s="446">
        <f t="shared" si="2"/>
        <v>0</v>
      </c>
      <c r="I54" s="446">
        <f t="shared" si="12"/>
        <v>0</v>
      </c>
      <c r="J54" s="446">
        <f t="shared" si="13"/>
        <v>0</v>
      </c>
      <c r="K54" s="446">
        <f t="shared" si="14"/>
        <v>0</v>
      </c>
      <c r="L54" s="446">
        <f t="shared" si="15"/>
        <v>0</v>
      </c>
      <c r="M54" s="446">
        <f t="shared" si="16"/>
        <v>0</v>
      </c>
      <c r="N54" s="446">
        <f t="shared" si="17"/>
        <v>0</v>
      </c>
      <c r="O54" s="446">
        <f t="shared" si="18"/>
        <v>0</v>
      </c>
      <c r="P54" s="447">
        <f t="shared" si="11"/>
        <v>0</v>
      </c>
      <c r="R54" s="448"/>
    </row>
    <row r="55" spans="1:18" ht="15" customHeight="1" x14ac:dyDescent="0.2">
      <c r="A55" s="440">
        <v>55</v>
      </c>
      <c r="B55" s="441"/>
      <c r="C55" s="442">
        <f t="shared" si="10"/>
        <v>0</v>
      </c>
      <c r="D55" s="443"/>
      <c r="E55" s="442">
        <f t="shared" si="0"/>
        <v>0</v>
      </c>
      <c r="F55" s="444"/>
      <c r="G55" s="445">
        <f t="shared" si="1"/>
        <v>110</v>
      </c>
      <c r="H55" s="446">
        <f t="shared" si="2"/>
        <v>0</v>
      </c>
      <c r="I55" s="446">
        <f t="shared" si="12"/>
        <v>0</v>
      </c>
      <c r="J55" s="446">
        <f t="shared" si="13"/>
        <v>0</v>
      </c>
      <c r="K55" s="446">
        <f t="shared" si="14"/>
        <v>0</v>
      </c>
      <c r="L55" s="446">
        <f t="shared" si="15"/>
        <v>0</v>
      </c>
      <c r="M55" s="446">
        <f t="shared" si="16"/>
        <v>0</v>
      </c>
      <c r="N55" s="446">
        <f t="shared" si="17"/>
        <v>0</v>
      </c>
      <c r="O55" s="446">
        <f t="shared" si="18"/>
        <v>0</v>
      </c>
      <c r="P55" s="447">
        <f t="shared" si="11"/>
        <v>0</v>
      </c>
      <c r="R55" s="448"/>
    </row>
    <row r="56" spans="1:18" ht="15" customHeight="1" x14ac:dyDescent="0.2">
      <c r="A56" s="440">
        <v>60</v>
      </c>
      <c r="B56" s="441"/>
      <c r="C56" s="442">
        <f t="shared" si="10"/>
        <v>0</v>
      </c>
      <c r="D56" s="443"/>
      <c r="E56" s="442">
        <f t="shared" si="0"/>
        <v>0</v>
      </c>
      <c r="F56" s="444"/>
      <c r="G56" s="445">
        <f t="shared" si="1"/>
        <v>120</v>
      </c>
      <c r="H56" s="446">
        <f t="shared" si="2"/>
        <v>0</v>
      </c>
      <c r="I56" s="446">
        <f t="shared" si="12"/>
        <v>0</v>
      </c>
      <c r="J56" s="446">
        <f t="shared" si="13"/>
        <v>0</v>
      </c>
      <c r="K56" s="446">
        <f t="shared" si="14"/>
        <v>0</v>
      </c>
      <c r="L56" s="446">
        <f t="shared" si="15"/>
        <v>0</v>
      </c>
      <c r="M56" s="446">
        <f t="shared" si="16"/>
        <v>0</v>
      </c>
      <c r="N56" s="446">
        <f t="shared" si="17"/>
        <v>0</v>
      </c>
      <c r="O56" s="446">
        <f t="shared" si="18"/>
        <v>0</v>
      </c>
      <c r="P56" s="447">
        <f t="shared" si="11"/>
        <v>0</v>
      </c>
      <c r="R56" s="448"/>
    </row>
    <row r="57" spans="1:18" ht="15" customHeight="1" x14ac:dyDescent="0.2">
      <c r="A57" s="440">
        <v>65</v>
      </c>
      <c r="B57" s="441"/>
      <c r="C57" s="442">
        <f t="shared" si="10"/>
        <v>0</v>
      </c>
      <c r="D57" s="443"/>
      <c r="E57" s="442">
        <f t="shared" si="0"/>
        <v>0</v>
      </c>
      <c r="F57" s="444"/>
      <c r="G57" s="445">
        <f t="shared" si="1"/>
        <v>130</v>
      </c>
      <c r="H57" s="446">
        <f t="shared" si="2"/>
        <v>0</v>
      </c>
      <c r="I57" s="446">
        <f t="shared" si="12"/>
        <v>0</v>
      </c>
      <c r="J57" s="446">
        <f t="shared" si="13"/>
        <v>0</v>
      </c>
      <c r="K57" s="446">
        <f t="shared" si="14"/>
        <v>0</v>
      </c>
      <c r="L57" s="446">
        <f t="shared" si="15"/>
        <v>0</v>
      </c>
      <c r="M57" s="446">
        <f t="shared" si="16"/>
        <v>0</v>
      </c>
      <c r="N57" s="446">
        <f t="shared" si="17"/>
        <v>0</v>
      </c>
      <c r="O57" s="446">
        <f t="shared" si="18"/>
        <v>0</v>
      </c>
      <c r="P57" s="447">
        <f t="shared" si="11"/>
        <v>0</v>
      </c>
      <c r="R57" s="448"/>
    </row>
    <row r="58" spans="1:18" ht="15" customHeight="1" x14ac:dyDescent="0.2">
      <c r="A58" s="440">
        <v>70</v>
      </c>
      <c r="B58" s="441"/>
      <c r="C58" s="442">
        <f t="shared" si="10"/>
        <v>0</v>
      </c>
      <c r="D58" s="443"/>
      <c r="E58" s="442">
        <f t="shared" si="0"/>
        <v>0</v>
      </c>
      <c r="F58" s="444"/>
      <c r="G58" s="445">
        <f t="shared" si="1"/>
        <v>140</v>
      </c>
      <c r="H58" s="446">
        <f t="shared" si="2"/>
        <v>0</v>
      </c>
      <c r="I58" s="446">
        <f t="shared" si="12"/>
        <v>0</v>
      </c>
      <c r="J58" s="446">
        <f t="shared" si="13"/>
        <v>0</v>
      </c>
      <c r="K58" s="446">
        <f t="shared" si="14"/>
        <v>0</v>
      </c>
      <c r="L58" s="446">
        <f t="shared" si="15"/>
        <v>0</v>
      </c>
      <c r="M58" s="446">
        <f t="shared" si="16"/>
        <v>0</v>
      </c>
      <c r="N58" s="446">
        <f t="shared" si="17"/>
        <v>0</v>
      </c>
      <c r="O58" s="446">
        <f t="shared" si="18"/>
        <v>0</v>
      </c>
      <c r="P58" s="447">
        <f t="shared" si="11"/>
        <v>0</v>
      </c>
      <c r="R58" s="448"/>
    </row>
    <row r="59" spans="1:18" ht="15" customHeight="1" x14ac:dyDescent="0.2">
      <c r="A59" s="440">
        <v>75</v>
      </c>
      <c r="B59" s="441"/>
      <c r="C59" s="442">
        <f t="shared" si="10"/>
        <v>0</v>
      </c>
      <c r="D59" s="443"/>
      <c r="E59" s="442">
        <f t="shared" si="0"/>
        <v>0</v>
      </c>
      <c r="F59" s="444"/>
      <c r="G59" s="445">
        <f t="shared" si="1"/>
        <v>150</v>
      </c>
      <c r="H59" s="446">
        <f t="shared" si="2"/>
        <v>0</v>
      </c>
      <c r="I59" s="446">
        <f t="shared" si="12"/>
        <v>0</v>
      </c>
      <c r="J59" s="446">
        <f t="shared" si="13"/>
        <v>0</v>
      </c>
      <c r="K59" s="446">
        <f t="shared" si="14"/>
        <v>0</v>
      </c>
      <c r="L59" s="446">
        <f t="shared" si="15"/>
        <v>0</v>
      </c>
      <c r="M59" s="446">
        <f t="shared" si="16"/>
        <v>0</v>
      </c>
      <c r="N59" s="446">
        <f t="shared" si="17"/>
        <v>0</v>
      </c>
      <c r="O59" s="446">
        <f t="shared" si="18"/>
        <v>0</v>
      </c>
      <c r="P59" s="447">
        <f t="shared" si="11"/>
        <v>0</v>
      </c>
      <c r="R59" s="448"/>
    </row>
    <row r="60" spans="1:18" ht="15" customHeight="1" x14ac:dyDescent="0.2">
      <c r="A60" s="440">
        <v>80</v>
      </c>
      <c r="B60" s="441"/>
      <c r="C60" s="442">
        <f t="shared" si="10"/>
        <v>0</v>
      </c>
      <c r="D60" s="443"/>
      <c r="E60" s="442">
        <f t="shared" si="0"/>
        <v>0</v>
      </c>
      <c r="F60" s="444"/>
      <c r="G60" s="445">
        <f t="shared" si="1"/>
        <v>160</v>
      </c>
      <c r="H60" s="446">
        <f t="shared" si="2"/>
        <v>0</v>
      </c>
      <c r="I60" s="446">
        <f t="shared" si="12"/>
        <v>0</v>
      </c>
      <c r="J60" s="446">
        <f t="shared" si="13"/>
        <v>0</v>
      </c>
      <c r="K60" s="446">
        <f t="shared" si="14"/>
        <v>0</v>
      </c>
      <c r="L60" s="446">
        <f t="shared" si="15"/>
        <v>0</v>
      </c>
      <c r="M60" s="446">
        <f t="shared" si="16"/>
        <v>0</v>
      </c>
      <c r="N60" s="446">
        <f t="shared" si="17"/>
        <v>0</v>
      </c>
      <c r="O60" s="446">
        <f t="shared" si="18"/>
        <v>0</v>
      </c>
      <c r="P60" s="447">
        <f t="shared" si="11"/>
        <v>0</v>
      </c>
      <c r="R60" s="448"/>
    </row>
    <row r="61" spans="1:18" ht="15" customHeight="1" x14ac:dyDescent="0.2">
      <c r="A61" s="440">
        <v>85</v>
      </c>
      <c r="B61" s="441"/>
      <c r="C61" s="442">
        <f t="shared" si="10"/>
        <v>0</v>
      </c>
      <c r="D61" s="443"/>
      <c r="E61" s="442">
        <f t="shared" si="0"/>
        <v>0</v>
      </c>
      <c r="F61" s="444"/>
      <c r="G61" s="445">
        <f t="shared" si="1"/>
        <v>170</v>
      </c>
      <c r="H61" s="446">
        <f t="shared" si="2"/>
        <v>0</v>
      </c>
      <c r="I61" s="446">
        <f t="shared" si="12"/>
        <v>0</v>
      </c>
      <c r="J61" s="446">
        <f t="shared" si="13"/>
        <v>0</v>
      </c>
      <c r="K61" s="446">
        <f t="shared" si="14"/>
        <v>0</v>
      </c>
      <c r="L61" s="446">
        <f t="shared" si="15"/>
        <v>0</v>
      </c>
      <c r="M61" s="446">
        <f t="shared" si="16"/>
        <v>0</v>
      </c>
      <c r="N61" s="446">
        <f t="shared" si="17"/>
        <v>0</v>
      </c>
      <c r="O61" s="446">
        <f t="shared" si="18"/>
        <v>0</v>
      </c>
      <c r="P61" s="447">
        <f t="shared" si="11"/>
        <v>0</v>
      </c>
      <c r="R61" s="448"/>
    </row>
    <row r="62" spans="1:18" ht="15" customHeight="1" x14ac:dyDescent="0.2">
      <c r="A62" s="440">
        <v>90</v>
      </c>
      <c r="B62" s="441"/>
      <c r="C62" s="442">
        <f t="shared" si="10"/>
        <v>0</v>
      </c>
      <c r="D62" s="443"/>
      <c r="E62" s="442">
        <f t="shared" si="0"/>
        <v>0</v>
      </c>
      <c r="F62" s="444"/>
      <c r="G62" s="445">
        <f t="shared" si="1"/>
        <v>180</v>
      </c>
      <c r="H62" s="446">
        <f t="shared" si="2"/>
        <v>0</v>
      </c>
      <c r="I62" s="446">
        <f t="shared" si="12"/>
        <v>0</v>
      </c>
      <c r="J62" s="446">
        <f t="shared" si="13"/>
        <v>0</v>
      </c>
      <c r="K62" s="446">
        <f t="shared" si="14"/>
        <v>0</v>
      </c>
      <c r="L62" s="446">
        <f t="shared" si="15"/>
        <v>0</v>
      </c>
      <c r="M62" s="446">
        <f t="shared" si="16"/>
        <v>0</v>
      </c>
      <c r="N62" s="446">
        <f t="shared" si="17"/>
        <v>0</v>
      </c>
      <c r="O62" s="446">
        <f t="shared" si="18"/>
        <v>0</v>
      </c>
      <c r="P62" s="447">
        <f t="shared" si="11"/>
        <v>0</v>
      </c>
      <c r="R62" s="448"/>
    </row>
    <row r="63" spans="1:18" ht="15" customHeight="1" x14ac:dyDescent="0.2">
      <c r="A63" s="440">
        <v>95</v>
      </c>
      <c r="B63" s="441"/>
      <c r="C63" s="442">
        <f t="shared" si="10"/>
        <v>0</v>
      </c>
      <c r="D63" s="443"/>
      <c r="E63" s="442">
        <f t="shared" si="0"/>
        <v>0</v>
      </c>
      <c r="F63" s="444"/>
      <c r="G63" s="445">
        <f t="shared" si="1"/>
        <v>190</v>
      </c>
      <c r="H63" s="446">
        <f t="shared" si="2"/>
        <v>0</v>
      </c>
      <c r="I63" s="446">
        <f t="shared" si="12"/>
        <v>0</v>
      </c>
      <c r="J63" s="446">
        <f t="shared" si="13"/>
        <v>0</v>
      </c>
      <c r="K63" s="446">
        <f t="shared" si="14"/>
        <v>0</v>
      </c>
      <c r="L63" s="446">
        <f t="shared" si="15"/>
        <v>0</v>
      </c>
      <c r="M63" s="446">
        <f t="shared" si="16"/>
        <v>0</v>
      </c>
      <c r="N63" s="446">
        <f t="shared" si="17"/>
        <v>0</v>
      </c>
      <c r="O63" s="446">
        <f t="shared" si="18"/>
        <v>0</v>
      </c>
      <c r="P63" s="447">
        <f t="shared" si="11"/>
        <v>0</v>
      </c>
      <c r="R63" s="448"/>
    </row>
    <row r="64" spans="1:18" ht="15" customHeight="1" x14ac:dyDescent="0.2">
      <c r="A64" s="440">
        <v>100</v>
      </c>
      <c r="B64" s="441"/>
      <c r="C64" s="442">
        <f t="shared" si="10"/>
        <v>0</v>
      </c>
      <c r="D64" s="443"/>
      <c r="E64" s="442">
        <f t="shared" si="0"/>
        <v>0</v>
      </c>
      <c r="F64" s="444"/>
      <c r="G64" s="445">
        <f t="shared" si="1"/>
        <v>200</v>
      </c>
      <c r="H64" s="446">
        <f t="shared" si="2"/>
        <v>0</v>
      </c>
      <c r="I64" s="446">
        <f t="shared" si="12"/>
        <v>0</v>
      </c>
      <c r="J64" s="446">
        <f t="shared" si="13"/>
        <v>0</v>
      </c>
      <c r="K64" s="446">
        <f t="shared" si="14"/>
        <v>0</v>
      </c>
      <c r="L64" s="446">
        <f t="shared" si="15"/>
        <v>0</v>
      </c>
      <c r="M64" s="446">
        <f t="shared" si="16"/>
        <v>0</v>
      </c>
      <c r="N64" s="446">
        <f t="shared" si="17"/>
        <v>0</v>
      </c>
      <c r="O64" s="446">
        <f t="shared" si="18"/>
        <v>0</v>
      </c>
      <c r="P64" s="447">
        <f t="shared" si="11"/>
        <v>0</v>
      </c>
      <c r="R64" s="448"/>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14" customWidth="1"/>
    <col min="2" max="4" width="10.7109375" style="414" customWidth="1"/>
    <col min="5" max="5" width="13.85546875" style="414" bestFit="1" customWidth="1"/>
    <col min="6" max="6" width="10.7109375" style="414" customWidth="1"/>
    <col min="7" max="7" width="9.42578125" style="414" customWidth="1"/>
    <col min="8" max="8" width="10.5703125" style="414" customWidth="1"/>
    <col min="9" max="9" width="13.7109375" style="414" customWidth="1"/>
    <col min="10" max="11" width="10.42578125" style="414" customWidth="1"/>
    <col min="12" max="12" width="10.28515625" style="414" customWidth="1"/>
    <col min="13" max="13" width="9.42578125" style="414" customWidth="1"/>
    <col min="14" max="14" width="8.7109375" style="414" customWidth="1"/>
    <col min="15" max="15" width="13.28515625" style="414" bestFit="1" customWidth="1"/>
    <col min="16" max="16" width="10.28515625" style="414" customWidth="1"/>
    <col min="17" max="256" width="11.42578125" style="414"/>
    <col min="257" max="257" width="7" style="414" customWidth="1"/>
    <col min="258" max="258" width="10.7109375" style="414" customWidth="1"/>
    <col min="259" max="259" width="10.5703125" style="414" customWidth="1"/>
    <col min="260" max="260" width="10.7109375" style="414" customWidth="1"/>
    <col min="261" max="261" width="10.28515625" style="414" customWidth="1"/>
    <col min="262" max="262" width="10.7109375" style="414" customWidth="1"/>
    <col min="263" max="263" width="9.42578125" style="414" customWidth="1"/>
    <col min="264" max="264" width="10.5703125" style="414" customWidth="1"/>
    <col min="265" max="265" width="13.7109375" style="414" customWidth="1"/>
    <col min="266" max="267" width="10.42578125" style="414" customWidth="1"/>
    <col min="268" max="268" width="10.28515625" style="414" customWidth="1"/>
    <col min="269" max="269" width="9.42578125" style="414" customWidth="1"/>
    <col min="270" max="270" width="8.7109375" style="414" customWidth="1"/>
    <col min="271" max="271" width="10.42578125" style="414" customWidth="1"/>
    <col min="272" max="272" width="10.28515625" style="414" customWidth="1"/>
    <col min="273" max="512" width="11.42578125" style="414"/>
    <col min="513" max="513" width="7" style="414" customWidth="1"/>
    <col min="514" max="514" width="10.7109375" style="414" customWidth="1"/>
    <col min="515" max="515" width="10.5703125" style="414" customWidth="1"/>
    <col min="516" max="516" width="10.7109375" style="414" customWidth="1"/>
    <col min="517" max="517" width="10.28515625" style="414" customWidth="1"/>
    <col min="518" max="518" width="10.7109375" style="414" customWidth="1"/>
    <col min="519" max="519" width="9.42578125" style="414" customWidth="1"/>
    <col min="520" max="520" width="10.5703125" style="414" customWidth="1"/>
    <col min="521" max="521" width="13.7109375" style="414" customWidth="1"/>
    <col min="522" max="523" width="10.42578125" style="414" customWidth="1"/>
    <col min="524" max="524" width="10.28515625" style="414" customWidth="1"/>
    <col min="525" max="525" width="9.42578125" style="414" customWidth="1"/>
    <col min="526" max="526" width="8.7109375" style="414" customWidth="1"/>
    <col min="527" max="527" width="10.42578125" style="414" customWidth="1"/>
    <col min="528" max="528" width="10.28515625" style="414" customWidth="1"/>
    <col min="529" max="768" width="11.42578125" style="414"/>
    <col min="769" max="769" width="7" style="414" customWidth="1"/>
    <col min="770" max="770" width="10.7109375" style="414" customWidth="1"/>
    <col min="771" max="771" width="10.5703125" style="414" customWidth="1"/>
    <col min="772" max="772" width="10.7109375" style="414" customWidth="1"/>
    <col min="773" max="773" width="10.28515625" style="414" customWidth="1"/>
    <col min="774" max="774" width="10.7109375" style="414" customWidth="1"/>
    <col min="775" max="775" width="9.42578125" style="414" customWidth="1"/>
    <col min="776" max="776" width="10.5703125" style="414" customWidth="1"/>
    <col min="777" max="777" width="13.7109375" style="414" customWidth="1"/>
    <col min="778" max="779" width="10.42578125" style="414" customWidth="1"/>
    <col min="780" max="780" width="10.28515625" style="414" customWidth="1"/>
    <col min="781" max="781" width="9.42578125" style="414" customWidth="1"/>
    <col min="782" max="782" width="8.7109375" style="414" customWidth="1"/>
    <col min="783" max="783" width="10.42578125" style="414" customWidth="1"/>
    <col min="784" max="784" width="10.28515625" style="414" customWidth="1"/>
    <col min="785" max="1024" width="11.42578125" style="414"/>
    <col min="1025" max="1025" width="7" style="414" customWidth="1"/>
    <col min="1026" max="1026" width="10.7109375" style="414" customWidth="1"/>
    <col min="1027" max="1027" width="10.5703125" style="414" customWidth="1"/>
    <col min="1028" max="1028" width="10.7109375" style="414" customWidth="1"/>
    <col min="1029" max="1029" width="10.28515625" style="414" customWidth="1"/>
    <col min="1030" max="1030" width="10.7109375" style="414" customWidth="1"/>
    <col min="1031" max="1031" width="9.42578125" style="414" customWidth="1"/>
    <col min="1032" max="1032" width="10.5703125" style="414" customWidth="1"/>
    <col min="1033" max="1033" width="13.7109375" style="414" customWidth="1"/>
    <col min="1034" max="1035" width="10.42578125" style="414" customWidth="1"/>
    <col min="1036" max="1036" width="10.28515625" style="414" customWidth="1"/>
    <col min="1037" max="1037" width="9.42578125" style="414" customWidth="1"/>
    <col min="1038" max="1038" width="8.7109375" style="414" customWidth="1"/>
    <col min="1039" max="1039" width="10.42578125" style="414" customWidth="1"/>
    <col min="1040" max="1040" width="10.28515625" style="414" customWidth="1"/>
    <col min="1041" max="1280" width="11.42578125" style="414"/>
    <col min="1281" max="1281" width="7" style="414" customWidth="1"/>
    <col min="1282" max="1282" width="10.7109375" style="414" customWidth="1"/>
    <col min="1283" max="1283" width="10.5703125" style="414" customWidth="1"/>
    <col min="1284" max="1284" width="10.7109375" style="414" customWidth="1"/>
    <col min="1285" max="1285" width="10.28515625" style="414" customWidth="1"/>
    <col min="1286" max="1286" width="10.7109375" style="414" customWidth="1"/>
    <col min="1287" max="1287" width="9.42578125" style="414" customWidth="1"/>
    <col min="1288" max="1288" width="10.5703125" style="414" customWidth="1"/>
    <col min="1289" max="1289" width="13.7109375" style="414" customWidth="1"/>
    <col min="1290" max="1291" width="10.42578125" style="414" customWidth="1"/>
    <col min="1292" max="1292" width="10.28515625" style="414" customWidth="1"/>
    <col min="1293" max="1293" width="9.42578125" style="414" customWidth="1"/>
    <col min="1294" max="1294" width="8.7109375" style="414" customWidth="1"/>
    <col min="1295" max="1295" width="10.42578125" style="414" customWidth="1"/>
    <col min="1296" max="1296" width="10.28515625" style="414" customWidth="1"/>
    <col min="1297" max="1536" width="11.42578125" style="414"/>
    <col min="1537" max="1537" width="7" style="414" customWidth="1"/>
    <col min="1538" max="1538" width="10.7109375" style="414" customWidth="1"/>
    <col min="1539" max="1539" width="10.5703125" style="414" customWidth="1"/>
    <col min="1540" max="1540" width="10.7109375" style="414" customWidth="1"/>
    <col min="1541" max="1541" width="10.28515625" style="414" customWidth="1"/>
    <col min="1542" max="1542" width="10.7109375" style="414" customWidth="1"/>
    <col min="1543" max="1543" width="9.42578125" style="414" customWidth="1"/>
    <col min="1544" max="1544" width="10.5703125" style="414" customWidth="1"/>
    <col min="1545" max="1545" width="13.7109375" style="414" customWidth="1"/>
    <col min="1546" max="1547" width="10.42578125" style="414" customWidth="1"/>
    <col min="1548" max="1548" width="10.28515625" style="414" customWidth="1"/>
    <col min="1549" max="1549" width="9.42578125" style="414" customWidth="1"/>
    <col min="1550" max="1550" width="8.7109375" style="414" customWidth="1"/>
    <col min="1551" max="1551" width="10.42578125" style="414" customWidth="1"/>
    <col min="1552" max="1552" width="10.28515625" style="414" customWidth="1"/>
    <col min="1553" max="1792" width="11.42578125" style="414"/>
    <col min="1793" max="1793" width="7" style="414" customWidth="1"/>
    <col min="1794" max="1794" width="10.7109375" style="414" customWidth="1"/>
    <col min="1795" max="1795" width="10.5703125" style="414" customWidth="1"/>
    <col min="1796" max="1796" width="10.7109375" style="414" customWidth="1"/>
    <col min="1797" max="1797" width="10.28515625" style="414" customWidth="1"/>
    <col min="1798" max="1798" width="10.7109375" style="414" customWidth="1"/>
    <col min="1799" max="1799" width="9.42578125" style="414" customWidth="1"/>
    <col min="1800" max="1800" width="10.5703125" style="414" customWidth="1"/>
    <col min="1801" max="1801" width="13.7109375" style="414" customWidth="1"/>
    <col min="1802" max="1803" width="10.42578125" style="414" customWidth="1"/>
    <col min="1804" max="1804" width="10.28515625" style="414" customWidth="1"/>
    <col min="1805" max="1805" width="9.42578125" style="414" customWidth="1"/>
    <col min="1806" max="1806" width="8.7109375" style="414" customWidth="1"/>
    <col min="1807" max="1807" width="10.42578125" style="414" customWidth="1"/>
    <col min="1808" max="1808" width="10.28515625" style="414" customWidth="1"/>
    <col min="1809" max="2048" width="11.42578125" style="414"/>
    <col min="2049" max="2049" width="7" style="414" customWidth="1"/>
    <col min="2050" max="2050" width="10.7109375" style="414" customWidth="1"/>
    <col min="2051" max="2051" width="10.5703125" style="414" customWidth="1"/>
    <col min="2052" max="2052" width="10.7109375" style="414" customWidth="1"/>
    <col min="2053" max="2053" width="10.28515625" style="414" customWidth="1"/>
    <col min="2054" max="2054" width="10.7109375" style="414" customWidth="1"/>
    <col min="2055" max="2055" width="9.42578125" style="414" customWidth="1"/>
    <col min="2056" max="2056" width="10.5703125" style="414" customWidth="1"/>
    <col min="2057" max="2057" width="13.7109375" style="414" customWidth="1"/>
    <col min="2058" max="2059" width="10.42578125" style="414" customWidth="1"/>
    <col min="2060" max="2060" width="10.28515625" style="414" customWidth="1"/>
    <col min="2061" max="2061" width="9.42578125" style="414" customWidth="1"/>
    <col min="2062" max="2062" width="8.7109375" style="414" customWidth="1"/>
    <col min="2063" max="2063" width="10.42578125" style="414" customWidth="1"/>
    <col min="2064" max="2064" width="10.28515625" style="414" customWidth="1"/>
    <col min="2065" max="2304" width="11.42578125" style="414"/>
    <col min="2305" max="2305" width="7" style="414" customWidth="1"/>
    <col min="2306" max="2306" width="10.7109375" style="414" customWidth="1"/>
    <col min="2307" max="2307" width="10.5703125" style="414" customWidth="1"/>
    <col min="2308" max="2308" width="10.7109375" style="414" customWidth="1"/>
    <col min="2309" max="2309" width="10.28515625" style="414" customWidth="1"/>
    <col min="2310" max="2310" width="10.7109375" style="414" customWidth="1"/>
    <col min="2311" max="2311" width="9.42578125" style="414" customWidth="1"/>
    <col min="2312" max="2312" width="10.5703125" style="414" customWidth="1"/>
    <col min="2313" max="2313" width="13.7109375" style="414" customWidth="1"/>
    <col min="2314" max="2315" width="10.42578125" style="414" customWidth="1"/>
    <col min="2316" max="2316" width="10.28515625" style="414" customWidth="1"/>
    <col min="2317" max="2317" width="9.42578125" style="414" customWidth="1"/>
    <col min="2318" max="2318" width="8.7109375" style="414" customWidth="1"/>
    <col min="2319" max="2319" width="10.42578125" style="414" customWidth="1"/>
    <col min="2320" max="2320" width="10.28515625" style="414" customWidth="1"/>
    <col min="2321" max="2560" width="11.42578125" style="414"/>
    <col min="2561" max="2561" width="7" style="414" customWidth="1"/>
    <col min="2562" max="2562" width="10.7109375" style="414" customWidth="1"/>
    <col min="2563" max="2563" width="10.5703125" style="414" customWidth="1"/>
    <col min="2564" max="2564" width="10.7109375" style="414" customWidth="1"/>
    <col min="2565" max="2565" width="10.28515625" style="414" customWidth="1"/>
    <col min="2566" max="2566" width="10.7109375" style="414" customWidth="1"/>
    <col min="2567" max="2567" width="9.42578125" style="414" customWidth="1"/>
    <col min="2568" max="2568" width="10.5703125" style="414" customWidth="1"/>
    <col min="2569" max="2569" width="13.7109375" style="414" customWidth="1"/>
    <col min="2570" max="2571" width="10.42578125" style="414" customWidth="1"/>
    <col min="2572" max="2572" width="10.28515625" style="414" customWidth="1"/>
    <col min="2573" max="2573" width="9.42578125" style="414" customWidth="1"/>
    <col min="2574" max="2574" width="8.7109375" style="414" customWidth="1"/>
    <col min="2575" max="2575" width="10.42578125" style="414" customWidth="1"/>
    <col min="2576" max="2576" width="10.28515625" style="414" customWidth="1"/>
    <col min="2577" max="2816" width="11.42578125" style="414"/>
    <col min="2817" max="2817" width="7" style="414" customWidth="1"/>
    <col min="2818" max="2818" width="10.7109375" style="414" customWidth="1"/>
    <col min="2819" max="2819" width="10.5703125" style="414" customWidth="1"/>
    <col min="2820" max="2820" width="10.7109375" style="414" customWidth="1"/>
    <col min="2821" max="2821" width="10.28515625" style="414" customWidth="1"/>
    <col min="2822" max="2822" width="10.7109375" style="414" customWidth="1"/>
    <col min="2823" max="2823" width="9.42578125" style="414" customWidth="1"/>
    <col min="2824" max="2824" width="10.5703125" style="414" customWidth="1"/>
    <col min="2825" max="2825" width="13.7109375" style="414" customWidth="1"/>
    <col min="2826" max="2827" width="10.42578125" style="414" customWidth="1"/>
    <col min="2828" max="2828" width="10.28515625" style="414" customWidth="1"/>
    <col min="2829" max="2829" width="9.42578125" style="414" customWidth="1"/>
    <col min="2830" max="2830" width="8.7109375" style="414" customWidth="1"/>
    <col min="2831" max="2831" width="10.42578125" style="414" customWidth="1"/>
    <col min="2832" max="2832" width="10.28515625" style="414" customWidth="1"/>
    <col min="2833" max="3072" width="11.42578125" style="414"/>
    <col min="3073" max="3073" width="7" style="414" customWidth="1"/>
    <col min="3074" max="3074" width="10.7109375" style="414" customWidth="1"/>
    <col min="3075" max="3075" width="10.5703125" style="414" customWidth="1"/>
    <col min="3076" max="3076" width="10.7109375" style="414" customWidth="1"/>
    <col min="3077" max="3077" width="10.28515625" style="414" customWidth="1"/>
    <col min="3078" max="3078" width="10.7109375" style="414" customWidth="1"/>
    <col min="3079" max="3079" width="9.42578125" style="414" customWidth="1"/>
    <col min="3080" max="3080" width="10.5703125" style="414" customWidth="1"/>
    <col min="3081" max="3081" width="13.7109375" style="414" customWidth="1"/>
    <col min="3082" max="3083" width="10.42578125" style="414" customWidth="1"/>
    <col min="3084" max="3084" width="10.28515625" style="414" customWidth="1"/>
    <col min="3085" max="3085" width="9.42578125" style="414" customWidth="1"/>
    <col min="3086" max="3086" width="8.7109375" style="414" customWidth="1"/>
    <col min="3087" max="3087" width="10.42578125" style="414" customWidth="1"/>
    <col min="3088" max="3088" width="10.28515625" style="414" customWidth="1"/>
    <col min="3089" max="3328" width="11.42578125" style="414"/>
    <col min="3329" max="3329" width="7" style="414" customWidth="1"/>
    <col min="3330" max="3330" width="10.7109375" style="414" customWidth="1"/>
    <col min="3331" max="3331" width="10.5703125" style="414" customWidth="1"/>
    <col min="3332" max="3332" width="10.7109375" style="414" customWidth="1"/>
    <col min="3333" max="3333" width="10.28515625" style="414" customWidth="1"/>
    <col min="3334" max="3334" width="10.7109375" style="414" customWidth="1"/>
    <col min="3335" max="3335" width="9.42578125" style="414" customWidth="1"/>
    <col min="3336" max="3336" width="10.5703125" style="414" customWidth="1"/>
    <col min="3337" max="3337" width="13.7109375" style="414" customWidth="1"/>
    <col min="3338" max="3339" width="10.42578125" style="414" customWidth="1"/>
    <col min="3340" max="3340" width="10.28515625" style="414" customWidth="1"/>
    <col min="3341" max="3341" width="9.42578125" style="414" customWidth="1"/>
    <col min="3342" max="3342" width="8.7109375" style="414" customWidth="1"/>
    <col min="3343" max="3343" width="10.42578125" style="414" customWidth="1"/>
    <col min="3344" max="3344" width="10.28515625" style="414" customWidth="1"/>
    <col min="3345" max="3584" width="11.42578125" style="414"/>
    <col min="3585" max="3585" width="7" style="414" customWidth="1"/>
    <col min="3586" max="3586" width="10.7109375" style="414" customWidth="1"/>
    <col min="3587" max="3587" width="10.5703125" style="414" customWidth="1"/>
    <col min="3588" max="3588" width="10.7109375" style="414" customWidth="1"/>
    <col min="3589" max="3589" width="10.28515625" style="414" customWidth="1"/>
    <col min="3590" max="3590" width="10.7109375" style="414" customWidth="1"/>
    <col min="3591" max="3591" width="9.42578125" style="414" customWidth="1"/>
    <col min="3592" max="3592" width="10.5703125" style="414" customWidth="1"/>
    <col min="3593" max="3593" width="13.7109375" style="414" customWidth="1"/>
    <col min="3594" max="3595" width="10.42578125" style="414" customWidth="1"/>
    <col min="3596" max="3596" width="10.28515625" style="414" customWidth="1"/>
    <col min="3597" max="3597" width="9.42578125" style="414" customWidth="1"/>
    <col min="3598" max="3598" width="8.7109375" style="414" customWidth="1"/>
    <col min="3599" max="3599" width="10.42578125" style="414" customWidth="1"/>
    <col min="3600" max="3600" width="10.28515625" style="414" customWidth="1"/>
    <col min="3601" max="3840" width="11.42578125" style="414"/>
    <col min="3841" max="3841" width="7" style="414" customWidth="1"/>
    <col min="3842" max="3842" width="10.7109375" style="414" customWidth="1"/>
    <col min="3843" max="3843" width="10.5703125" style="414" customWidth="1"/>
    <col min="3844" max="3844" width="10.7109375" style="414" customWidth="1"/>
    <col min="3845" max="3845" width="10.28515625" style="414" customWidth="1"/>
    <col min="3846" max="3846" width="10.7109375" style="414" customWidth="1"/>
    <col min="3847" max="3847" width="9.42578125" style="414" customWidth="1"/>
    <col min="3848" max="3848" width="10.5703125" style="414" customWidth="1"/>
    <col min="3849" max="3849" width="13.7109375" style="414" customWidth="1"/>
    <col min="3850" max="3851" width="10.42578125" style="414" customWidth="1"/>
    <col min="3852" max="3852" width="10.28515625" style="414" customWidth="1"/>
    <col min="3853" max="3853" width="9.42578125" style="414" customWidth="1"/>
    <col min="3854" max="3854" width="8.7109375" style="414" customWidth="1"/>
    <col min="3855" max="3855" width="10.42578125" style="414" customWidth="1"/>
    <col min="3856" max="3856" width="10.28515625" style="414" customWidth="1"/>
    <col min="3857" max="4096" width="11.42578125" style="414"/>
    <col min="4097" max="4097" width="7" style="414" customWidth="1"/>
    <col min="4098" max="4098" width="10.7109375" style="414" customWidth="1"/>
    <col min="4099" max="4099" width="10.5703125" style="414" customWidth="1"/>
    <col min="4100" max="4100" width="10.7109375" style="414" customWidth="1"/>
    <col min="4101" max="4101" width="10.28515625" style="414" customWidth="1"/>
    <col min="4102" max="4102" width="10.7109375" style="414" customWidth="1"/>
    <col min="4103" max="4103" width="9.42578125" style="414" customWidth="1"/>
    <col min="4104" max="4104" width="10.5703125" style="414" customWidth="1"/>
    <col min="4105" max="4105" width="13.7109375" style="414" customWidth="1"/>
    <col min="4106" max="4107" width="10.42578125" style="414" customWidth="1"/>
    <col min="4108" max="4108" width="10.28515625" style="414" customWidth="1"/>
    <col min="4109" max="4109" width="9.42578125" style="414" customWidth="1"/>
    <col min="4110" max="4110" width="8.7109375" style="414" customWidth="1"/>
    <col min="4111" max="4111" width="10.42578125" style="414" customWidth="1"/>
    <col min="4112" max="4112" width="10.28515625" style="414" customWidth="1"/>
    <col min="4113" max="4352" width="11.42578125" style="414"/>
    <col min="4353" max="4353" width="7" style="414" customWidth="1"/>
    <col min="4354" max="4354" width="10.7109375" style="414" customWidth="1"/>
    <col min="4355" max="4355" width="10.5703125" style="414" customWidth="1"/>
    <col min="4356" max="4356" width="10.7109375" style="414" customWidth="1"/>
    <col min="4357" max="4357" width="10.28515625" style="414" customWidth="1"/>
    <col min="4358" max="4358" width="10.7109375" style="414" customWidth="1"/>
    <col min="4359" max="4359" width="9.42578125" style="414" customWidth="1"/>
    <col min="4360" max="4360" width="10.5703125" style="414" customWidth="1"/>
    <col min="4361" max="4361" width="13.7109375" style="414" customWidth="1"/>
    <col min="4362" max="4363" width="10.42578125" style="414" customWidth="1"/>
    <col min="4364" max="4364" width="10.28515625" style="414" customWidth="1"/>
    <col min="4365" max="4365" width="9.42578125" style="414" customWidth="1"/>
    <col min="4366" max="4366" width="8.7109375" style="414" customWidth="1"/>
    <col min="4367" max="4367" width="10.42578125" style="414" customWidth="1"/>
    <col min="4368" max="4368" width="10.28515625" style="414" customWidth="1"/>
    <col min="4369" max="4608" width="11.42578125" style="414"/>
    <col min="4609" max="4609" width="7" style="414" customWidth="1"/>
    <col min="4610" max="4610" width="10.7109375" style="414" customWidth="1"/>
    <col min="4611" max="4611" width="10.5703125" style="414" customWidth="1"/>
    <col min="4612" max="4612" width="10.7109375" style="414" customWidth="1"/>
    <col min="4613" max="4613" width="10.28515625" style="414" customWidth="1"/>
    <col min="4614" max="4614" width="10.7109375" style="414" customWidth="1"/>
    <col min="4615" max="4615" width="9.42578125" style="414" customWidth="1"/>
    <col min="4616" max="4616" width="10.5703125" style="414" customWidth="1"/>
    <col min="4617" max="4617" width="13.7109375" style="414" customWidth="1"/>
    <col min="4618" max="4619" width="10.42578125" style="414" customWidth="1"/>
    <col min="4620" max="4620" width="10.28515625" style="414" customWidth="1"/>
    <col min="4621" max="4621" width="9.42578125" style="414" customWidth="1"/>
    <col min="4622" max="4622" width="8.7109375" style="414" customWidth="1"/>
    <col min="4623" max="4623" width="10.42578125" style="414" customWidth="1"/>
    <col min="4624" max="4624" width="10.28515625" style="414" customWidth="1"/>
    <col min="4625" max="4864" width="11.42578125" style="414"/>
    <col min="4865" max="4865" width="7" style="414" customWidth="1"/>
    <col min="4866" max="4866" width="10.7109375" style="414" customWidth="1"/>
    <col min="4867" max="4867" width="10.5703125" style="414" customWidth="1"/>
    <col min="4868" max="4868" width="10.7109375" style="414" customWidth="1"/>
    <col min="4869" max="4869" width="10.28515625" style="414" customWidth="1"/>
    <col min="4870" max="4870" width="10.7109375" style="414" customWidth="1"/>
    <col min="4871" max="4871" width="9.42578125" style="414" customWidth="1"/>
    <col min="4872" max="4872" width="10.5703125" style="414" customWidth="1"/>
    <col min="4873" max="4873" width="13.7109375" style="414" customWidth="1"/>
    <col min="4874" max="4875" width="10.42578125" style="414" customWidth="1"/>
    <col min="4876" max="4876" width="10.28515625" style="414" customWidth="1"/>
    <col min="4877" max="4877" width="9.42578125" style="414" customWidth="1"/>
    <col min="4878" max="4878" width="8.7109375" style="414" customWidth="1"/>
    <col min="4879" max="4879" width="10.42578125" style="414" customWidth="1"/>
    <col min="4880" max="4880" width="10.28515625" style="414" customWidth="1"/>
    <col min="4881" max="5120" width="11.42578125" style="414"/>
    <col min="5121" max="5121" width="7" style="414" customWidth="1"/>
    <col min="5122" max="5122" width="10.7109375" style="414" customWidth="1"/>
    <col min="5123" max="5123" width="10.5703125" style="414" customWidth="1"/>
    <col min="5124" max="5124" width="10.7109375" style="414" customWidth="1"/>
    <col min="5125" max="5125" width="10.28515625" style="414" customWidth="1"/>
    <col min="5126" max="5126" width="10.7109375" style="414" customWidth="1"/>
    <col min="5127" max="5127" width="9.42578125" style="414" customWidth="1"/>
    <col min="5128" max="5128" width="10.5703125" style="414" customWidth="1"/>
    <col min="5129" max="5129" width="13.7109375" style="414" customWidth="1"/>
    <col min="5130" max="5131" width="10.42578125" style="414" customWidth="1"/>
    <col min="5132" max="5132" width="10.28515625" style="414" customWidth="1"/>
    <col min="5133" max="5133" width="9.42578125" style="414" customWidth="1"/>
    <col min="5134" max="5134" width="8.7109375" style="414" customWidth="1"/>
    <col min="5135" max="5135" width="10.42578125" style="414" customWidth="1"/>
    <col min="5136" max="5136" width="10.28515625" style="414" customWidth="1"/>
    <col min="5137" max="5376" width="11.42578125" style="414"/>
    <col min="5377" max="5377" width="7" style="414" customWidth="1"/>
    <col min="5378" max="5378" width="10.7109375" style="414" customWidth="1"/>
    <col min="5379" max="5379" width="10.5703125" style="414" customWidth="1"/>
    <col min="5380" max="5380" width="10.7109375" style="414" customWidth="1"/>
    <col min="5381" max="5381" width="10.28515625" style="414" customWidth="1"/>
    <col min="5382" max="5382" width="10.7109375" style="414" customWidth="1"/>
    <col min="5383" max="5383" width="9.42578125" style="414" customWidth="1"/>
    <col min="5384" max="5384" width="10.5703125" style="414" customWidth="1"/>
    <col min="5385" max="5385" width="13.7109375" style="414" customWidth="1"/>
    <col min="5386" max="5387" width="10.42578125" style="414" customWidth="1"/>
    <col min="5388" max="5388" width="10.28515625" style="414" customWidth="1"/>
    <col min="5389" max="5389" width="9.42578125" style="414" customWidth="1"/>
    <col min="5390" max="5390" width="8.7109375" style="414" customWidth="1"/>
    <col min="5391" max="5391" width="10.42578125" style="414" customWidth="1"/>
    <col min="5392" max="5392" width="10.28515625" style="414" customWidth="1"/>
    <col min="5393" max="5632" width="11.42578125" style="414"/>
    <col min="5633" max="5633" width="7" style="414" customWidth="1"/>
    <col min="5634" max="5634" width="10.7109375" style="414" customWidth="1"/>
    <col min="5635" max="5635" width="10.5703125" style="414" customWidth="1"/>
    <col min="5636" max="5636" width="10.7109375" style="414" customWidth="1"/>
    <col min="5637" max="5637" width="10.28515625" style="414" customWidth="1"/>
    <col min="5638" max="5638" width="10.7109375" style="414" customWidth="1"/>
    <col min="5639" max="5639" width="9.42578125" style="414" customWidth="1"/>
    <col min="5640" max="5640" width="10.5703125" style="414" customWidth="1"/>
    <col min="5641" max="5641" width="13.7109375" style="414" customWidth="1"/>
    <col min="5642" max="5643" width="10.42578125" style="414" customWidth="1"/>
    <col min="5644" max="5644" width="10.28515625" style="414" customWidth="1"/>
    <col min="5645" max="5645" width="9.42578125" style="414" customWidth="1"/>
    <col min="5646" max="5646" width="8.7109375" style="414" customWidth="1"/>
    <col min="5647" max="5647" width="10.42578125" style="414" customWidth="1"/>
    <col min="5648" max="5648" width="10.28515625" style="414" customWidth="1"/>
    <col min="5649" max="5888" width="11.42578125" style="414"/>
    <col min="5889" max="5889" width="7" style="414" customWidth="1"/>
    <col min="5890" max="5890" width="10.7109375" style="414" customWidth="1"/>
    <col min="5891" max="5891" width="10.5703125" style="414" customWidth="1"/>
    <col min="5892" max="5892" width="10.7109375" style="414" customWidth="1"/>
    <col min="5893" max="5893" width="10.28515625" style="414" customWidth="1"/>
    <col min="5894" max="5894" width="10.7109375" style="414" customWidth="1"/>
    <col min="5895" max="5895" width="9.42578125" style="414" customWidth="1"/>
    <col min="5896" max="5896" width="10.5703125" style="414" customWidth="1"/>
    <col min="5897" max="5897" width="13.7109375" style="414" customWidth="1"/>
    <col min="5898" max="5899" width="10.42578125" style="414" customWidth="1"/>
    <col min="5900" max="5900" width="10.28515625" style="414" customWidth="1"/>
    <col min="5901" max="5901" width="9.42578125" style="414" customWidth="1"/>
    <col min="5902" max="5902" width="8.7109375" style="414" customWidth="1"/>
    <col min="5903" max="5903" width="10.42578125" style="414" customWidth="1"/>
    <col min="5904" max="5904" width="10.28515625" style="414" customWidth="1"/>
    <col min="5905" max="6144" width="11.42578125" style="414"/>
    <col min="6145" max="6145" width="7" style="414" customWidth="1"/>
    <col min="6146" max="6146" width="10.7109375" style="414" customWidth="1"/>
    <col min="6147" max="6147" width="10.5703125" style="414" customWidth="1"/>
    <col min="6148" max="6148" width="10.7109375" style="414" customWidth="1"/>
    <col min="6149" max="6149" width="10.28515625" style="414" customWidth="1"/>
    <col min="6150" max="6150" width="10.7109375" style="414" customWidth="1"/>
    <col min="6151" max="6151" width="9.42578125" style="414" customWidth="1"/>
    <col min="6152" max="6152" width="10.5703125" style="414" customWidth="1"/>
    <col min="6153" max="6153" width="13.7109375" style="414" customWidth="1"/>
    <col min="6154" max="6155" width="10.42578125" style="414" customWidth="1"/>
    <col min="6156" max="6156" width="10.28515625" style="414" customWidth="1"/>
    <col min="6157" max="6157" width="9.42578125" style="414" customWidth="1"/>
    <col min="6158" max="6158" width="8.7109375" style="414" customWidth="1"/>
    <col min="6159" max="6159" width="10.42578125" style="414" customWidth="1"/>
    <col min="6160" max="6160" width="10.28515625" style="414" customWidth="1"/>
    <col min="6161" max="6400" width="11.42578125" style="414"/>
    <col min="6401" max="6401" width="7" style="414" customWidth="1"/>
    <col min="6402" max="6402" width="10.7109375" style="414" customWidth="1"/>
    <col min="6403" max="6403" width="10.5703125" style="414" customWidth="1"/>
    <col min="6404" max="6404" width="10.7109375" style="414" customWidth="1"/>
    <col min="6405" max="6405" width="10.28515625" style="414" customWidth="1"/>
    <col min="6406" max="6406" width="10.7109375" style="414" customWidth="1"/>
    <col min="6407" max="6407" width="9.42578125" style="414" customWidth="1"/>
    <col min="6408" max="6408" width="10.5703125" style="414" customWidth="1"/>
    <col min="6409" max="6409" width="13.7109375" style="414" customWidth="1"/>
    <col min="6410" max="6411" width="10.42578125" style="414" customWidth="1"/>
    <col min="6412" max="6412" width="10.28515625" style="414" customWidth="1"/>
    <col min="6413" max="6413" width="9.42578125" style="414" customWidth="1"/>
    <col min="6414" max="6414" width="8.7109375" style="414" customWidth="1"/>
    <col min="6415" max="6415" width="10.42578125" style="414" customWidth="1"/>
    <col min="6416" max="6416" width="10.28515625" style="414" customWidth="1"/>
    <col min="6417" max="6656" width="11.42578125" style="414"/>
    <col min="6657" max="6657" width="7" style="414" customWidth="1"/>
    <col min="6658" max="6658" width="10.7109375" style="414" customWidth="1"/>
    <col min="6659" max="6659" width="10.5703125" style="414" customWidth="1"/>
    <col min="6660" max="6660" width="10.7109375" style="414" customWidth="1"/>
    <col min="6661" max="6661" width="10.28515625" style="414" customWidth="1"/>
    <col min="6662" max="6662" width="10.7109375" style="414" customWidth="1"/>
    <col min="6663" max="6663" width="9.42578125" style="414" customWidth="1"/>
    <col min="6664" max="6664" width="10.5703125" style="414" customWidth="1"/>
    <col min="6665" max="6665" width="13.7109375" style="414" customWidth="1"/>
    <col min="6666" max="6667" width="10.42578125" style="414" customWidth="1"/>
    <col min="6668" max="6668" width="10.28515625" style="414" customWidth="1"/>
    <col min="6669" max="6669" width="9.42578125" style="414" customWidth="1"/>
    <col min="6670" max="6670" width="8.7109375" style="414" customWidth="1"/>
    <col min="6671" max="6671" width="10.42578125" style="414" customWidth="1"/>
    <col min="6672" max="6672" width="10.28515625" style="414" customWidth="1"/>
    <col min="6673" max="6912" width="11.42578125" style="414"/>
    <col min="6913" max="6913" width="7" style="414" customWidth="1"/>
    <col min="6914" max="6914" width="10.7109375" style="414" customWidth="1"/>
    <col min="6915" max="6915" width="10.5703125" style="414" customWidth="1"/>
    <col min="6916" max="6916" width="10.7109375" style="414" customWidth="1"/>
    <col min="6917" max="6917" width="10.28515625" style="414" customWidth="1"/>
    <col min="6918" max="6918" width="10.7109375" style="414" customWidth="1"/>
    <col min="6919" max="6919" width="9.42578125" style="414" customWidth="1"/>
    <col min="6920" max="6920" width="10.5703125" style="414" customWidth="1"/>
    <col min="6921" max="6921" width="13.7109375" style="414" customWidth="1"/>
    <col min="6922" max="6923" width="10.42578125" style="414" customWidth="1"/>
    <col min="6924" max="6924" width="10.28515625" style="414" customWidth="1"/>
    <col min="6925" max="6925" width="9.42578125" style="414" customWidth="1"/>
    <col min="6926" max="6926" width="8.7109375" style="414" customWidth="1"/>
    <col min="6927" max="6927" width="10.42578125" style="414" customWidth="1"/>
    <col min="6928" max="6928" width="10.28515625" style="414" customWidth="1"/>
    <col min="6929" max="7168" width="11.42578125" style="414"/>
    <col min="7169" max="7169" width="7" style="414" customWidth="1"/>
    <col min="7170" max="7170" width="10.7109375" style="414" customWidth="1"/>
    <col min="7171" max="7171" width="10.5703125" style="414" customWidth="1"/>
    <col min="7172" max="7172" width="10.7109375" style="414" customWidth="1"/>
    <col min="7173" max="7173" width="10.28515625" style="414" customWidth="1"/>
    <col min="7174" max="7174" width="10.7109375" style="414" customWidth="1"/>
    <col min="7175" max="7175" width="9.42578125" style="414" customWidth="1"/>
    <col min="7176" max="7176" width="10.5703125" style="414" customWidth="1"/>
    <col min="7177" max="7177" width="13.7109375" style="414" customWidth="1"/>
    <col min="7178" max="7179" width="10.42578125" style="414" customWidth="1"/>
    <col min="7180" max="7180" width="10.28515625" style="414" customWidth="1"/>
    <col min="7181" max="7181" width="9.42578125" style="414" customWidth="1"/>
    <col min="7182" max="7182" width="8.7109375" style="414" customWidth="1"/>
    <col min="7183" max="7183" width="10.42578125" style="414" customWidth="1"/>
    <col min="7184" max="7184" width="10.28515625" style="414" customWidth="1"/>
    <col min="7185" max="7424" width="11.42578125" style="414"/>
    <col min="7425" max="7425" width="7" style="414" customWidth="1"/>
    <col min="7426" max="7426" width="10.7109375" style="414" customWidth="1"/>
    <col min="7427" max="7427" width="10.5703125" style="414" customWidth="1"/>
    <col min="7428" max="7428" width="10.7109375" style="414" customWidth="1"/>
    <col min="7429" max="7429" width="10.28515625" style="414" customWidth="1"/>
    <col min="7430" max="7430" width="10.7109375" style="414" customWidth="1"/>
    <col min="7431" max="7431" width="9.42578125" style="414" customWidth="1"/>
    <col min="7432" max="7432" width="10.5703125" style="414" customWidth="1"/>
    <col min="7433" max="7433" width="13.7109375" style="414" customWidth="1"/>
    <col min="7434" max="7435" width="10.42578125" style="414" customWidth="1"/>
    <col min="7436" max="7436" width="10.28515625" style="414" customWidth="1"/>
    <col min="7437" max="7437" width="9.42578125" style="414" customWidth="1"/>
    <col min="7438" max="7438" width="8.7109375" style="414" customWidth="1"/>
    <col min="7439" max="7439" width="10.42578125" style="414" customWidth="1"/>
    <col min="7440" max="7440" width="10.28515625" style="414" customWidth="1"/>
    <col min="7441" max="7680" width="11.42578125" style="414"/>
    <col min="7681" max="7681" width="7" style="414" customWidth="1"/>
    <col min="7682" max="7682" width="10.7109375" style="414" customWidth="1"/>
    <col min="7683" max="7683" width="10.5703125" style="414" customWidth="1"/>
    <col min="7684" max="7684" width="10.7109375" style="414" customWidth="1"/>
    <col min="7685" max="7685" width="10.28515625" style="414" customWidth="1"/>
    <col min="7686" max="7686" width="10.7109375" style="414" customWidth="1"/>
    <col min="7687" max="7687" width="9.42578125" style="414" customWidth="1"/>
    <col min="7688" max="7688" width="10.5703125" style="414" customWidth="1"/>
    <col min="7689" max="7689" width="13.7109375" style="414" customWidth="1"/>
    <col min="7690" max="7691" width="10.42578125" style="414" customWidth="1"/>
    <col min="7692" max="7692" width="10.28515625" style="414" customWidth="1"/>
    <col min="7693" max="7693" width="9.42578125" style="414" customWidth="1"/>
    <col min="7694" max="7694" width="8.7109375" style="414" customWidth="1"/>
    <col min="7695" max="7695" width="10.42578125" style="414" customWidth="1"/>
    <col min="7696" max="7696" width="10.28515625" style="414" customWidth="1"/>
    <col min="7697" max="7936" width="11.42578125" style="414"/>
    <col min="7937" max="7937" width="7" style="414" customWidth="1"/>
    <col min="7938" max="7938" width="10.7109375" style="414" customWidth="1"/>
    <col min="7939" max="7939" width="10.5703125" style="414" customWidth="1"/>
    <col min="7940" max="7940" width="10.7109375" style="414" customWidth="1"/>
    <col min="7941" max="7941" width="10.28515625" style="414" customWidth="1"/>
    <col min="7942" max="7942" width="10.7109375" style="414" customWidth="1"/>
    <col min="7943" max="7943" width="9.42578125" style="414" customWidth="1"/>
    <col min="7944" max="7944" width="10.5703125" style="414" customWidth="1"/>
    <col min="7945" max="7945" width="13.7109375" style="414" customWidth="1"/>
    <col min="7946" max="7947" width="10.42578125" style="414" customWidth="1"/>
    <col min="7948" max="7948" width="10.28515625" style="414" customWidth="1"/>
    <col min="7949" max="7949" width="9.42578125" style="414" customWidth="1"/>
    <col min="7950" max="7950" width="8.7109375" style="414" customWidth="1"/>
    <col min="7951" max="7951" width="10.42578125" style="414" customWidth="1"/>
    <col min="7952" max="7952" width="10.28515625" style="414" customWidth="1"/>
    <col min="7953" max="8192" width="11.42578125" style="414"/>
    <col min="8193" max="8193" width="7" style="414" customWidth="1"/>
    <col min="8194" max="8194" width="10.7109375" style="414" customWidth="1"/>
    <col min="8195" max="8195" width="10.5703125" style="414" customWidth="1"/>
    <col min="8196" max="8196" width="10.7109375" style="414" customWidth="1"/>
    <col min="8197" max="8197" width="10.28515625" style="414" customWidth="1"/>
    <col min="8198" max="8198" width="10.7109375" style="414" customWidth="1"/>
    <col min="8199" max="8199" width="9.42578125" style="414" customWidth="1"/>
    <col min="8200" max="8200" width="10.5703125" style="414" customWidth="1"/>
    <col min="8201" max="8201" width="13.7109375" style="414" customWidth="1"/>
    <col min="8202" max="8203" width="10.42578125" style="414" customWidth="1"/>
    <col min="8204" max="8204" width="10.28515625" style="414" customWidth="1"/>
    <col min="8205" max="8205" width="9.42578125" style="414" customWidth="1"/>
    <col min="8206" max="8206" width="8.7109375" style="414" customWidth="1"/>
    <col min="8207" max="8207" width="10.42578125" style="414" customWidth="1"/>
    <col min="8208" max="8208" width="10.28515625" style="414" customWidth="1"/>
    <col min="8209" max="8448" width="11.42578125" style="414"/>
    <col min="8449" max="8449" width="7" style="414" customWidth="1"/>
    <col min="8450" max="8450" width="10.7109375" style="414" customWidth="1"/>
    <col min="8451" max="8451" width="10.5703125" style="414" customWidth="1"/>
    <col min="8452" max="8452" width="10.7109375" style="414" customWidth="1"/>
    <col min="8453" max="8453" width="10.28515625" style="414" customWidth="1"/>
    <col min="8454" max="8454" width="10.7109375" style="414" customWidth="1"/>
    <col min="8455" max="8455" width="9.42578125" style="414" customWidth="1"/>
    <col min="8456" max="8456" width="10.5703125" style="414" customWidth="1"/>
    <col min="8457" max="8457" width="13.7109375" style="414" customWidth="1"/>
    <col min="8458" max="8459" width="10.42578125" style="414" customWidth="1"/>
    <col min="8460" max="8460" width="10.28515625" style="414" customWidth="1"/>
    <col min="8461" max="8461" width="9.42578125" style="414" customWidth="1"/>
    <col min="8462" max="8462" width="8.7109375" style="414" customWidth="1"/>
    <col min="8463" max="8463" width="10.42578125" style="414" customWidth="1"/>
    <col min="8464" max="8464" width="10.28515625" style="414" customWidth="1"/>
    <col min="8465" max="8704" width="11.42578125" style="414"/>
    <col min="8705" max="8705" width="7" style="414" customWidth="1"/>
    <col min="8706" max="8706" width="10.7109375" style="414" customWidth="1"/>
    <col min="8707" max="8707" width="10.5703125" style="414" customWidth="1"/>
    <col min="8708" max="8708" width="10.7109375" style="414" customWidth="1"/>
    <col min="8709" max="8709" width="10.28515625" style="414" customWidth="1"/>
    <col min="8710" max="8710" width="10.7109375" style="414" customWidth="1"/>
    <col min="8711" max="8711" width="9.42578125" style="414" customWidth="1"/>
    <col min="8712" max="8712" width="10.5703125" style="414" customWidth="1"/>
    <col min="8713" max="8713" width="13.7109375" style="414" customWidth="1"/>
    <col min="8714" max="8715" width="10.42578125" style="414" customWidth="1"/>
    <col min="8716" max="8716" width="10.28515625" style="414" customWidth="1"/>
    <col min="8717" max="8717" width="9.42578125" style="414" customWidth="1"/>
    <col min="8718" max="8718" width="8.7109375" style="414" customWidth="1"/>
    <col min="8719" max="8719" width="10.42578125" style="414" customWidth="1"/>
    <col min="8720" max="8720" width="10.28515625" style="414" customWidth="1"/>
    <col min="8721" max="8960" width="11.42578125" style="414"/>
    <col min="8961" max="8961" width="7" style="414" customWidth="1"/>
    <col min="8962" max="8962" width="10.7109375" style="414" customWidth="1"/>
    <col min="8963" max="8963" width="10.5703125" style="414" customWidth="1"/>
    <col min="8964" max="8964" width="10.7109375" style="414" customWidth="1"/>
    <col min="8965" max="8965" width="10.28515625" style="414" customWidth="1"/>
    <col min="8966" max="8966" width="10.7109375" style="414" customWidth="1"/>
    <col min="8967" max="8967" width="9.42578125" style="414" customWidth="1"/>
    <col min="8968" max="8968" width="10.5703125" style="414" customWidth="1"/>
    <col min="8969" max="8969" width="13.7109375" style="414" customWidth="1"/>
    <col min="8970" max="8971" width="10.42578125" style="414" customWidth="1"/>
    <col min="8972" max="8972" width="10.28515625" style="414" customWidth="1"/>
    <col min="8973" max="8973" width="9.42578125" style="414" customWidth="1"/>
    <col min="8974" max="8974" width="8.7109375" style="414" customWidth="1"/>
    <col min="8975" max="8975" width="10.42578125" style="414" customWidth="1"/>
    <col min="8976" max="8976" width="10.28515625" style="414" customWidth="1"/>
    <col min="8977" max="9216" width="11.42578125" style="414"/>
    <col min="9217" max="9217" width="7" style="414" customWidth="1"/>
    <col min="9218" max="9218" width="10.7109375" style="414" customWidth="1"/>
    <col min="9219" max="9219" width="10.5703125" style="414" customWidth="1"/>
    <col min="9220" max="9220" width="10.7109375" style="414" customWidth="1"/>
    <col min="9221" max="9221" width="10.28515625" style="414" customWidth="1"/>
    <col min="9222" max="9222" width="10.7109375" style="414" customWidth="1"/>
    <col min="9223" max="9223" width="9.42578125" style="414" customWidth="1"/>
    <col min="9224" max="9224" width="10.5703125" style="414" customWidth="1"/>
    <col min="9225" max="9225" width="13.7109375" style="414" customWidth="1"/>
    <col min="9226" max="9227" width="10.42578125" style="414" customWidth="1"/>
    <col min="9228" max="9228" width="10.28515625" style="414" customWidth="1"/>
    <col min="9229" max="9229" width="9.42578125" style="414" customWidth="1"/>
    <col min="9230" max="9230" width="8.7109375" style="414" customWidth="1"/>
    <col min="9231" max="9231" width="10.42578125" style="414" customWidth="1"/>
    <col min="9232" max="9232" width="10.28515625" style="414" customWidth="1"/>
    <col min="9233" max="9472" width="11.42578125" style="414"/>
    <col min="9473" max="9473" width="7" style="414" customWidth="1"/>
    <col min="9474" max="9474" width="10.7109375" style="414" customWidth="1"/>
    <col min="9475" max="9475" width="10.5703125" style="414" customWidth="1"/>
    <col min="9476" max="9476" width="10.7109375" style="414" customWidth="1"/>
    <col min="9477" max="9477" width="10.28515625" style="414" customWidth="1"/>
    <col min="9478" max="9478" width="10.7109375" style="414" customWidth="1"/>
    <col min="9479" max="9479" width="9.42578125" style="414" customWidth="1"/>
    <col min="9480" max="9480" width="10.5703125" style="414" customWidth="1"/>
    <col min="9481" max="9481" width="13.7109375" style="414" customWidth="1"/>
    <col min="9482" max="9483" width="10.42578125" style="414" customWidth="1"/>
    <col min="9484" max="9484" width="10.28515625" style="414" customWidth="1"/>
    <col min="9485" max="9485" width="9.42578125" style="414" customWidth="1"/>
    <col min="9486" max="9486" width="8.7109375" style="414" customWidth="1"/>
    <col min="9487" max="9487" width="10.42578125" style="414" customWidth="1"/>
    <col min="9488" max="9488" width="10.28515625" style="414" customWidth="1"/>
    <col min="9489" max="9728" width="11.42578125" style="414"/>
    <col min="9729" max="9729" width="7" style="414" customWidth="1"/>
    <col min="9730" max="9730" width="10.7109375" style="414" customWidth="1"/>
    <col min="9731" max="9731" width="10.5703125" style="414" customWidth="1"/>
    <col min="9732" max="9732" width="10.7109375" style="414" customWidth="1"/>
    <col min="9733" max="9733" width="10.28515625" style="414" customWidth="1"/>
    <col min="9734" max="9734" width="10.7109375" style="414" customWidth="1"/>
    <col min="9735" max="9735" width="9.42578125" style="414" customWidth="1"/>
    <col min="9736" max="9736" width="10.5703125" style="414" customWidth="1"/>
    <col min="9737" max="9737" width="13.7109375" style="414" customWidth="1"/>
    <col min="9738" max="9739" width="10.42578125" style="414" customWidth="1"/>
    <col min="9740" max="9740" width="10.28515625" style="414" customWidth="1"/>
    <col min="9741" max="9741" width="9.42578125" style="414" customWidth="1"/>
    <col min="9742" max="9742" width="8.7109375" style="414" customWidth="1"/>
    <col min="9743" max="9743" width="10.42578125" style="414" customWidth="1"/>
    <col min="9744" max="9744" width="10.28515625" style="414" customWidth="1"/>
    <col min="9745" max="9984" width="11.42578125" style="414"/>
    <col min="9985" max="9985" width="7" style="414" customWidth="1"/>
    <col min="9986" max="9986" width="10.7109375" style="414" customWidth="1"/>
    <col min="9987" max="9987" width="10.5703125" style="414" customWidth="1"/>
    <col min="9988" max="9988" width="10.7109375" style="414" customWidth="1"/>
    <col min="9989" max="9989" width="10.28515625" style="414" customWidth="1"/>
    <col min="9990" max="9990" width="10.7109375" style="414" customWidth="1"/>
    <col min="9991" max="9991" width="9.42578125" style="414" customWidth="1"/>
    <col min="9992" max="9992" width="10.5703125" style="414" customWidth="1"/>
    <col min="9993" max="9993" width="13.7109375" style="414" customWidth="1"/>
    <col min="9994" max="9995" width="10.42578125" style="414" customWidth="1"/>
    <col min="9996" max="9996" width="10.28515625" style="414" customWidth="1"/>
    <col min="9997" max="9997" width="9.42578125" style="414" customWidth="1"/>
    <col min="9998" max="9998" width="8.7109375" style="414" customWidth="1"/>
    <col min="9999" max="9999" width="10.42578125" style="414" customWidth="1"/>
    <col min="10000" max="10000" width="10.28515625" style="414" customWidth="1"/>
    <col min="10001" max="10240" width="11.42578125" style="414"/>
    <col min="10241" max="10241" width="7" style="414" customWidth="1"/>
    <col min="10242" max="10242" width="10.7109375" style="414" customWidth="1"/>
    <col min="10243" max="10243" width="10.5703125" style="414" customWidth="1"/>
    <col min="10244" max="10244" width="10.7109375" style="414" customWidth="1"/>
    <col min="10245" max="10245" width="10.28515625" style="414" customWidth="1"/>
    <col min="10246" max="10246" width="10.7109375" style="414" customWidth="1"/>
    <col min="10247" max="10247" width="9.42578125" style="414" customWidth="1"/>
    <col min="10248" max="10248" width="10.5703125" style="414" customWidth="1"/>
    <col min="10249" max="10249" width="13.7109375" style="414" customWidth="1"/>
    <col min="10250" max="10251" width="10.42578125" style="414" customWidth="1"/>
    <col min="10252" max="10252" width="10.28515625" style="414" customWidth="1"/>
    <col min="10253" max="10253" width="9.42578125" style="414" customWidth="1"/>
    <col min="10254" max="10254" width="8.7109375" style="414" customWidth="1"/>
    <col min="10255" max="10255" width="10.42578125" style="414" customWidth="1"/>
    <col min="10256" max="10256" width="10.28515625" style="414" customWidth="1"/>
    <col min="10257" max="10496" width="11.42578125" style="414"/>
    <col min="10497" max="10497" width="7" style="414" customWidth="1"/>
    <col min="10498" max="10498" width="10.7109375" style="414" customWidth="1"/>
    <col min="10499" max="10499" width="10.5703125" style="414" customWidth="1"/>
    <col min="10500" max="10500" width="10.7109375" style="414" customWidth="1"/>
    <col min="10501" max="10501" width="10.28515625" style="414" customWidth="1"/>
    <col min="10502" max="10502" width="10.7109375" style="414" customWidth="1"/>
    <col min="10503" max="10503" width="9.42578125" style="414" customWidth="1"/>
    <col min="10504" max="10504" width="10.5703125" style="414" customWidth="1"/>
    <col min="10505" max="10505" width="13.7109375" style="414" customWidth="1"/>
    <col min="10506" max="10507" width="10.42578125" style="414" customWidth="1"/>
    <col min="10508" max="10508" width="10.28515625" style="414" customWidth="1"/>
    <col min="10509" max="10509" width="9.42578125" style="414" customWidth="1"/>
    <col min="10510" max="10510" width="8.7109375" style="414" customWidth="1"/>
    <col min="10511" max="10511" width="10.42578125" style="414" customWidth="1"/>
    <col min="10512" max="10512" width="10.28515625" style="414" customWidth="1"/>
    <col min="10513" max="10752" width="11.42578125" style="414"/>
    <col min="10753" max="10753" width="7" style="414" customWidth="1"/>
    <col min="10754" max="10754" width="10.7109375" style="414" customWidth="1"/>
    <col min="10755" max="10755" width="10.5703125" style="414" customWidth="1"/>
    <col min="10756" max="10756" width="10.7109375" style="414" customWidth="1"/>
    <col min="10757" max="10757" width="10.28515625" style="414" customWidth="1"/>
    <col min="10758" max="10758" width="10.7109375" style="414" customWidth="1"/>
    <col min="10759" max="10759" width="9.42578125" style="414" customWidth="1"/>
    <col min="10760" max="10760" width="10.5703125" style="414" customWidth="1"/>
    <col min="10761" max="10761" width="13.7109375" style="414" customWidth="1"/>
    <col min="10762" max="10763" width="10.42578125" style="414" customWidth="1"/>
    <col min="10764" max="10764" width="10.28515625" style="414" customWidth="1"/>
    <col min="10765" max="10765" width="9.42578125" style="414" customWidth="1"/>
    <col min="10766" max="10766" width="8.7109375" style="414" customWidth="1"/>
    <col min="10767" max="10767" width="10.42578125" style="414" customWidth="1"/>
    <col min="10768" max="10768" width="10.28515625" style="414" customWidth="1"/>
    <col min="10769" max="11008" width="11.42578125" style="414"/>
    <col min="11009" max="11009" width="7" style="414" customWidth="1"/>
    <col min="11010" max="11010" width="10.7109375" style="414" customWidth="1"/>
    <col min="11011" max="11011" width="10.5703125" style="414" customWidth="1"/>
    <col min="11012" max="11012" width="10.7109375" style="414" customWidth="1"/>
    <col min="11013" max="11013" width="10.28515625" style="414" customWidth="1"/>
    <col min="11014" max="11014" width="10.7109375" style="414" customWidth="1"/>
    <col min="11015" max="11015" width="9.42578125" style="414" customWidth="1"/>
    <col min="11016" max="11016" width="10.5703125" style="414" customWidth="1"/>
    <col min="11017" max="11017" width="13.7109375" style="414" customWidth="1"/>
    <col min="11018" max="11019" width="10.42578125" style="414" customWidth="1"/>
    <col min="11020" max="11020" width="10.28515625" style="414" customWidth="1"/>
    <col min="11021" max="11021" width="9.42578125" style="414" customWidth="1"/>
    <col min="11022" max="11022" width="8.7109375" style="414" customWidth="1"/>
    <col min="11023" max="11023" width="10.42578125" style="414" customWidth="1"/>
    <col min="11024" max="11024" width="10.28515625" style="414" customWidth="1"/>
    <col min="11025" max="11264" width="11.42578125" style="414"/>
    <col min="11265" max="11265" width="7" style="414" customWidth="1"/>
    <col min="11266" max="11266" width="10.7109375" style="414" customWidth="1"/>
    <col min="11267" max="11267" width="10.5703125" style="414" customWidth="1"/>
    <col min="11268" max="11268" width="10.7109375" style="414" customWidth="1"/>
    <col min="11269" max="11269" width="10.28515625" style="414" customWidth="1"/>
    <col min="11270" max="11270" width="10.7109375" style="414" customWidth="1"/>
    <col min="11271" max="11271" width="9.42578125" style="414" customWidth="1"/>
    <col min="11272" max="11272" width="10.5703125" style="414" customWidth="1"/>
    <col min="11273" max="11273" width="13.7109375" style="414" customWidth="1"/>
    <col min="11274" max="11275" width="10.42578125" style="414" customWidth="1"/>
    <col min="11276" max="11276" width="10.28515625" style="414" customWidth="1"/>
    <col min="11277" max="11277" width="9.42578125" style="414" customWidth="1"/>
    <col min="11278" max="11278" width="8.7109375" style="414" customWidth="1"/>
    <col min="11279" max="11279" width="10.42578125" style="414" customWidth="1"/>
    <col min="11280" max="11280" width="10.28515625" style="414" customWidth="1"/>
    <col min="11281" max="11520" width="11.42578125" style="414"/>
    <col min="11521" max="11521" width="7" style="414" customWidth="1"/>
    <col min="11522" max="11522" width="10.7109375" style="414" customWidth="1"/>
    <col min="11523" max="11523" width="10.5703125" style="414" customWidth="1"/>
    <col min="11524" max="11524" width="10.7109375" style="414" customWidth="1"/>
    <col min="11525" max="11525" width="10.28515625" style="414" customWidth="1"/>
    <col min="11526" max="11526" width="10.7109375" style="414" customWidth="1"/>
    <col min="11527" max="11527" width="9.42578125" style="414" customWidth="1"/>
    <col min="11528" max="11528" width="10.5703125" style="414" customWidth="1"/>
    <col min="11529" max="11529" width="13.7109375" style="414" customWidth="1"/>
    <col min="11530" max="11531" width="10.42578125" style="414" customWidth="1"/>
    <col min="11532" max="11532" width="10.28515625" style="414" customWidth="1"/>
    <col min="11533" max="11533" width="9.42578125" style="414" customWidth="1"/>
    <col min="11534" max="11534" width="8.7109375" style="414" customWidth="1"/>
    <col min="11535" max="11535" width="10.42578125" style="414" customWidth="1"/>
    <col min="11536" max="11536" width="10.28515625" style="414" customWidth="1"/>
    <col min="11537" max="11776" width="11.42578125" style="414"/>
    <col min="11777" max="11777" width="7" style="414" customWidth="1"/>
    <col min="11778" max="11778" width="10.7109375" style="414" customWidth="1"/>
    <col min="11779" max="11779" width="10.5703125" style="414" customWidth="1"/>
    <col min="11780" max="11780" width="10.7109375" style="414" customWidth="1"/>
    <col min="11781" max="11781" width="10.28515625" style="414" customWidth="1"/>
    <col min="11782" max="11782" width="10.7109375" style="414" customWidth="1"/>
    <col min="11783" max="11783" width="9.42578125" style="414" customWidth="1"/>
    <col min="11784" max="11784" width="10.5703125" style="414" customWidth="1"/>
    <col min="11785" max="11785" width="13.7109375" style="414" customWidth="1"/>
    <col min="11786" max="11787" width="10.42578125" style="414" customWidth="1"/>
    <col min="11788" max="11788" width="10.28515625" style="414" customWidth="1"/>
    <col min="11789" max="11789" width="9.42578125" style="414" customWidth="1"/>
    <col min="11790" max="11790" width="8.7109375" style="414" customWidth="1"/>
    <col min="11791" max="11791" width="10.42578125" style="414" customWidth="1"/>
    <col min="11792" max="11792" width="10.28515625" style="414" customWidth="1"/>
    <col min="11793" max="12032" width="11.42578125" style="414"/>
    <col min="12033" max="12033" width="7" style="414" customWidth="1"/>
    <col min="12034" max="12034" width="10.7109375" style="414" customWidth="1"/>
    <col min="12035" max="12035" width="10.5703125" style="414" customWidth="1"/>
    <col min="12036" max="12036" width="10.7109375" style="414" customWidth="1"/>
    <col min="12037" max="12037" width="10.28515625" style="414" customWidth="1"/>
    <col min="12038" max="12038" width="10.7109375" style="414" customWidth="1"/>
    <col min="12039" max="12039" width="9.42578125" style="414" customWidth="1"/>
    <col min="12040" max="12040" width="10.5703125" style="414" customWidth="1"/>
    <col min="12041" max="12041" width="13.7109375" style="414" customWidth="1"/>
    <col min="12042" max="12043" width="10.42578125" style="414" customWidth="1"/>
    <col min="12044" max="12044" width="10.28515625" style="414" customWidth="1"/>
    <col min="12045" max="12045" width="9.42578125" style="414" customWidth="1"/>
    <col min="12046" max="12046" width="8.7109375" style="414" customWidth="1"/>
    <col min="12047" max="12047" width="10.42578125" style="414" customWidth="1"/>
    <col min="12048" max="12048" width="10.28515625" style="414" customWidth="1"/>
    <col min="12049" max="12288" width="11.42578125" style="414"/>
    <col min="12289" max="12289" width="7" style="414" customWidth="1"/>
    <col min="12290" max="12290" width="10.7109375" style="414" customWidth="1"/>
    <col min="12291" max="12291" width="10.5703125" style="414" customWidth="1"/>
    <col min="12292" max="12292" width="10.7109375" style="414" customWidth="1"/>
    <col min="12293" max="12293" width="10.28515625" style="414" customWidth="1"/>
    <col min="12294" max="12294" width="10.7109375" style="414" customWidth="1"/>
    <col min="12295" max="12295" width="9.42578125" style="414" customWidth="1"/>
    <col min="12296" max="12296" width="10.5703125" style="414" customWidth="1"/>
    <col min="12297" max="12297" width="13.7109375" style="414" customWidth="1"/>
    <col min="12298" max="12299" width="10.42578125" style="414" customWidth="1"/>
    <col min="12300" max="12300" width="10.28515625" style="414" customWidth="1"/>
    <col min="12301" max="12301" width="9.42578125" style="414" customWidth="1"/>
    <col min="12302" max="12302" width="8.7109375" style="414" customWidth="1"/>
    <col min="12303" max="12303" width="10.42578125" style="414" customWidth="1"/>
    <col min="12304" max="12304" width="10.28515625" style="414" customWidth="1"/>
    <col min="12305" max="12544" width="11.42578125" style="414"/>
    <col min="12545" max="12545" width="7" style="414" customWidth="1"/>
    <col min="12546" max="12546" width="10.7109375" style="414" customWidth="1"/>
    <col min="12547" max="12547" width="10.5703125" style="414" customWidth="1"/>
    <col min="12548" max="12548" width="10.7109375" style="414" customWidth="1"/>
    <col min="12549" max="12549" width="10.28515625" style="414" customWidth="1"/>
    <col min="12550" max="12550" width="10.7109375" style="414" customWidth="1"/>
    <col min="12551" max="12551" width="9.42578125" style="414" customWidth="1"/>
    <col min="12552" max="12552" width="10.5703125" style="414" customWidth="1"/>
    <col min="12553" max="12553" width="13.7109375" style="414" customWidth="1"/>
    <col min="12554" max="12555" width="10.42578125" style="414" customWidth="1"/>
    <col min="12556" max="12556" width="10.28515625" style="414" customWidth="1"/>
    <col min="12557" max="12557" width="9.42578125" style="414" customWidth="1"/>
    <col min="12558" max="12558" width="8.7109375" style="414" customWidth="1"/>
    <col min="12559" max="12559" width="10.42578125" style="414" customWidth="1"/>
    <col min="12560" max="12560" width="10.28515625" style="414" customWidth="1"/>
    <col min="12561" max="12800" width="11.42578125" style="414"/>
    <col min="12801" max="12801" width="7" style="414" customWidth="1"/>
    <col min="12802" max="12802" width="10.7109375" style="414" customWidth="1"/>
    <col min="12803" max="12803" width="10.5703125" style="414" customWidth="1"/>
    <col min="12804" max="12804" width="10.7109375" style="414" customWidth="1"/>
    <col min="12805" max="12805" width="10.28515625" style="414" customWidth="1"/>
    <col min="12806" max="12806" width="10.7109375" style="414" customWidth="1"/>
    <col min="12807" max="12807" width="9.42578125" style="414" customWidth="1"/>
    <col min="12808" max="12808" width="10.5703125" style="414" customWidth="1"/>
    <col min="12809" max="12809" width="13.7109375" style="414" customWidth="1"/>
    <col min="12810" max="12811" width="10.42578125" style="414" customWidth="1"/>
    <col min="12812" max="12812" width="10.28515625" style="414" customWidth="1"/>
    <col min="12813" max="12813" width="9.42578125" style="414" customWidth="1"/>
    <col min="12814" max="12814" width="8.7109375" style="414" customWidth="1"/>
    <col min="12815" max="12815" width="10.42578125" style="414" customWidth="1"/>
    <col min="12816" max="12816" width="10.28515625" style="414" customWidth="1"/>
    <col min="12817" max="13056" width="11.42578125" style="414"/>
    <col min="13057" max="13057" width="7" style="414" customWidth="1"/>
    <col min="13058" max="13058" width="10.7109375" style="414" customWidth="1"/>
    <col min="13059" max="13059" width="10.5703125" style="414" customWidth="1"/>
    <col min="13060" max="13060" width="10.7109375" style="414" customWidth="1"/>
    <col min="13061" max="13061" width="10.28515625" style="414" customWidth="1"/>
    <col min="13062" max="13062" width="10.7109375" style="414" customWidth="1"/>
    <col min="13063" max="13063" width="9.42578125" style="414" customWidth="1"/>
    <col min="13064" max="13064" width="10.5703125" style="414" customWidth="1"/>
    <col min="13065" max="13065" width="13.7109375" style="414" customWidth="1"/>
    <col min="13066" max="13067" width="10.42578125" style="414" customWidth="1"/>
    <col min="13068" max="13068" width="10.28515625" style="414" customWidth="1"/>
    <col min="13069" max="13069" width="9.42578125" style="414" customWidth="1"/>
    <col min="13070" max="13070" width="8.7109375" style="414" customWidth="1"/>
    <col min="13071" max="13071" width="10.42578125" style="414" customWidth="1"/>
    <col min="13072" max="13072" width="10.28515625" style="414" customWidth="1"/>
    <col min="13073" max="13312" width="11.42578125" style="414"/>
    <col min="13313" max="13313" width="7" style="414" customWidth="1"/>
    <col min="13314" max="13314" width="10.7109375" style="414" customWidth="1"/>
    <col min="13315" max="13315" width="10.5703125" style="414" customWidth="1"/>
    <col min="13316" max="13316" width="10.7109375" style="414" customWidth="1"/>
    <col min="13317" max="13317" width="10.28515625" style="414" customWidth="1"/>
    <col min="13318" max="13318" width="10.7109375" style="414" customWidth="1"/>
    <col min="13319" max="13319" width="9.42578125" style="414" customWidth="1"/>
    <col min="13320" max="13320" width="10.5703125" style="414" customWidth="1"/>
    <col min="13321" max="13321" width="13.7109375" style="414" customWidth="1"/>
    <col min="13322" max="13323" width="10.42578125" style="414" customWidth="1"/>
    <col min="13324" max="13324" width="10.28515625" style="414" customWidth="1"/>
    <col min="13325" max="13325" width="9.42578125" style="414" customWidth="1"/>
    <col min="13326" max="13326" width="8.7109375" style="414" customWidth="1"/>
    <col min="13327" max="13327" width="10.42578125" style="414" customWidth="1"/>
    <col min="13328" max="13328" width="10.28515625" style="414" customWidth="1"/>
    <col min="13329" max="13568" width="11.42578125" style="414"/>
    <col min="13569" max="13569" width="7" style="414" customWidth="1"/>
    <col min="13570" max="13570" width="10.7109375" style="414" customWidth="1"/>
    <col min="13571" max="13571" width="10.5703125" style="414" customWidth="1"/>
    <col min="13572" max="13572" width="10.7109375" style="414" customWidth="1"/>
    <col min="13573" max="13573" width="10.28515625" style="414" customWidth="1"/>
    <col min="13574" max="13574" width="10.7109375" style="414" customWidth="1"/>
    <col min="13575" max="13575" width="9.42578125" style="414" customWidth="1"/>
    <col min="13576" max="13576" width="10.5703125" style="414" customWidth="1"/>
    <col min="13577" max="13577" width="13.7109375" style="414" customWidth="1"/>
    <col min="13578" max="13579" width="10.42578125" style="414" customWidth="1"/>
    <col min="13580" max="13580" width="10.28515625" style="414" customWidth="1"/>
    <col min="13581" max="13581" width="9.42578125" style="414" customWidth="1"/>
    <col min="13582" max="13582" width="8.7109375" style="414" customWidth="1"/>
    <col min="13583" max="13583" width="10.42578125" style="414" customWidth="1"/>
    <col min="13584" max="13584" width="10.28515625" style="414" customWidth="1"/>
    <col min="13585" max="13824" width="11.42578125" style="414"/>
    <col min="13825" max="13825" width="7" style="414" customWidth="1"/>
    <col min="13826" max="13826" width="10.7109375" style="414" customWidth="1"/>
    <col min="13827" max="13827" width="10.5703125" style="414" customWidth="1"/>
    <col min="13828" max="13828" width="10.7109375" style="414" customWidth="1"/>
    <col min="13829" max="13829" width="10.28515625" style="414" customWidth="1"/>
    <col min="13830" max="13830" width="10.7109375" style="414" customWidth="1"/>
    <col min="13831" max="13831" width="9.42578125" style="414" customWidth="1"/>
    <col min="13832" max="13832" width="10.5703125" style="414" customWidth="1"/>
    <col min="13833" max="13833" width="13.7109375" style="414" customWidth="1"/>
    <col min="13834" max="13835" width="10.42578125" style="414" customWidth="1"/>
    <col min="13836" max="13836" width="10.28515625" style="414" customWidth="1"/>
    <col min="13837" max="13837" width="9.42578125" style="414" customWidth="1"/>
    <col min="13838" max="13838" width="8.7109375" style="414" customWidth="1"/>
    <col min="13839" max="13839" width="10.42578125" style="414" customWidth="1"/>
    <col min="13840" max="13840" width="10.28515625" style="414" customWidth="1"/>
    <col min="13841" max="14080" width="11.42578125" style="414"/>
    <col min="14081" max="14081" width="7" style="414" customWidth="1"/>
    <col min="14082" max="14082" width="10.7109375" style="414" customWidth="1"/>
    <col min="14083" max="14083" width="10.5703125" style="414" customWidth="1"/>
    <col min="14084" max="14084" width="10.7109375" style="414" customWidth="1"/>
    <col min="14085" max="14085" width="10.28515625" style="414" customWidth="1"/>
    <col min="14086" max="14086" width="10.7109375" style="414" customWidth="1"/>
    <col min="14087" max="14087" width="9.42578125" style="414" customWidth="1"/>
    <col min="14088" max="14088" width="10.5703125" style="414" customWidth="1"/>
    <col min="14089" max="14089" width="13.7109375" style="414" customWidth="1"/>
    <col min="14090" max="14091" width="10.42578125" style="414" customWidth="1"/>
    <col min="14092" max="14092" width="10.28515625" style="414" customWidth="1"/>
    <col min="14093" max="14093" width="9.42578125" style="414" customWidth="1"/>
    <col min="14094" max="14094" width="8.7109375" style="414" customWidth="1"/>
    <col min="14095" max="14095" width="10.42578125" style="414" customWidth="1"/>
    <col min="14096" max="14096" width="10.28515625" style="414" customWidth="1"/>
    <col min="14097" max="14336" width="11.42578125" style="414"/>
    <col min="14337" max="14337" width="7" style="414" customWidth="1"/>
    <col min="14338" max="14338" width="10.7109375" style="414" customWidth="1"/>
    <col min="14339" max="14339" width="10.5703125" style="414" customWidth="1"/>
    <col min="14340" max="14340" width="10.7109375" style="414" customWidth="1"/>
    <col min="14341" max="14341" width="10.28515625" style="414" customWidth="1"/>
    <col min="14342" max="14342" width="10.7109375" style="414" customWidth="1"/>
    <col min="14343" max="14343" width="9.42578125" style="414" customWidth="1"/>
    <col min="14344" max="14344" width="10.5703125" style="414" customWidth="1"/>
    <col min="14345" max="14345" width="13.7109375" style="414" customWidth="1"/>
    <col min="14346" max="14347" width="10.42578125" style="414" customWidth="1"/>
    <col min="14348" max="14348" width="10.28515625" style="414" customWidth="1"/>
    <col min="14349" max="14349" width="9.42578125" style="414" customWidth="1"/>
    <col min="14350" max="14350" width="8.7109375" style="414" customWidth="1"/>
    <col min="14351" max="14351" width="10.42578125" style="414" customWidth="1"/>
    <col min="14352" max="14352" width="10.28515625" style="414" customWidth="1"/>
    <col min="14353" max="14592" width="11.42578125" style="414"/>
    <col min="14593" max="14593" width="7" style="414" customWidth="1"/>
    <col min="14594" max="14594" width="10.7109375" style="414" customWidth="1"/>
    <col min="14595" max="14595" width="10.5703125" style="414" customWidth="1"/>
    <col min="14596" max="14596" width="10.7109375" style="414" customWidth="1"/>
    <col min="14597" max="14597" width="10.28515625" style="414" customWidth="1"/>
    <col min="14598" max="14598" width="10.7109375" style="414" customWidth="1"/>
    <col min="14599" max="14599" width="9.42578125" style="414" customWidth="1"/>
    <col min="14600" max="14600" width="10.5703125" style="414" customWidth="1"/>
    <col min="14601" max="14601" width="13.7109375" style="414" customWidth="1"/>
    <col min="14602" max="14603" width="10.42578125" style="414" customWidth="1"/>
    <col min="14604" max="14604" width="10.28515625" style="414" customWidth="1"/>
    <col min="14605" max="14605" width="9.42578125" style="414" customWidth="1"/>
    <col min="14606" max="14606" width="8.7109375" style="414" customWidth="1"/>
    <col min="14607" max="14607" width="10.42578125" style="414" customWidth="1"/>
    <col min="14608" max="14608" width="10.28515625" style="414" customWidth="1"/>
    <col min="14609" max="14848" width="11.42578125" style="414"/>
    <col min="14849" max="14849" width="7" style="414" customWidth="1"/>
    <col min="14850" max="14850" width="10.7109375" style="414" customWidth="1"/>
    <col min="14851" max="14851" width="10.5703125" style="414" customWidth="1"/>
    <col min="14852" max="14852" width="10.7109375" style="414" customWidth="1"/>
    <col min="14853" max="14853" width="10.28515625" style="414" customWidth="1"/>
    <col min="14854" max="14854" width="10.7109375" style="414" customWidth="1"/>
    <col min="14855" max="14855" width="9.42578125" style="414" customWidth="1"/>
    <col min="14856" max="14856" width="10.5703125" style="414" customWidth="1"/>
    <col min="14857" max="14857" width="13.7109375" style="414" customWidth="1"/>
    <col min="14858" max="14859" width="10.42578125" style="414" customWidth="1"/>
    <col min="14860" max="14860" width="10.28515625" style="414" customWidth="1"/>
    <col min="14861" max="14861" width="9.42578125" style="414" customWidth="1"/>
    <col min="14862" max="14862" width="8.7109375" style="414" customWidth="1"/>
    <col min="14863" max="14863" width="10.42578125" style="414" customWidth="1"/>
    <col min="14864" max="14864" width="10.28515625" style="414" customWidth="1"/>
    <col min="14865" max="15104" width="11.42578125" style="414"/>
    <col min="15105" max="15105" width="7" style="414" customWidth="1"/>
    <col min="15106" max="15106" width="10.7109375" style="414" customWidth="1"/>
    <col min="15107" max="15107" width="10.5703125" style="414" customWidth="1"/>
    <col min="15108" max="15108" width="10.7109375" style="414" customWidth="1"/>
    <col min="15109" max="15109" width="10.28515625" style="414" customWidth="1"/>
    <col min="15110" max="15110" width="10.7109375" style="414" customWidth="1"/>
    <col min="15111" max="15111" width="9.42578125" style="414" customWidth="1"/>
    <col min="15112" max="15112" width="10.5703125" style="414" customWidth="1"/>
    <col min="15113" max="15113" width="13.7109375" style="414" customWidth="1"/>
    <col min="15114" max="15115" width="10.42578125" style="414" customWidth="1"/>
    <col min="15116" max="15116" width="10.28515625" style="414" customWidth="1"/>
    <col min="15117" max="15117" width="9.42578125" style="414" customWidth="1"/>
    <col min="15118" max="15118" width="8.7109375" style="414" customWidth="1"/>
    <col min="15119" max="15119" width="10.42578125" style="414" customWidth="1"/>
    <col min="15120" max="15120" width="10.28515625" style="414" customWidth="1"/>
    <col min="15121" max="15360" width="11.42578125" style="414"/>
    <col min="15361" max="15361" width="7" style="414" customWidth="1"/>
    <col min="15362" max="15362" width="10.7109375" style="414" customWidth="1"/>
    <col min="15363" max="15363" width="10.5703125" style="414" customWidth="1"/>
    <col min="15364" max="15364" width="10.7109375" style="414" customWidth="1"/>
    <col min="15365" max="15365" width="10.28515625" style="414" customWidth="1"/>
    <col min="15366" max="15366" width="10.7109375" style="414" customWidth="1"/>
    <col min="15367" max="15367" width="9.42578125" style="414" customWidth="1"/>
    <col min="15368" max="15368" width="10.5703125" style="414" customWidth="1"/>
    <col min="15369" max="15369" width="13.7109375" style="414" customWidth="1"/>
    <col min="15370" max="15371" width="10.42578125" style="414" customWidth="1"/>
    <col min="15372" max="15372" width="10.28515625" style="414" customWidth="1"/>
    <col min="15373" max="15373" width="9.42578125" style="414" customWidth="1"/>
    <col min="15374" max="15374" width="8.7109375" style="414" customWidth="1"/>
    <col min="15375" max="15375" width="10.42578125" style="414" customWidth="1"/>
    <col min="15376" max="15376" width="10.28515625" style="414" customWidth="1"/>
    <col min="15377" max="15616" width="11.42578125" style="414"/>
    <col min="15617" max="15617" width="7" style="414" customWidth="1"/>
    <col min="15618" max="15618" width="10.7109375" style="414" customWidth="1"/>
    <col min="15619" max="15619" width="10.5703125" style="414" customWidth="1"/>
    <col min="15620" max="15620" width="10.7109375" style="414" customWidth="1"/>
    <col min="15621" max="15621" width="10.28515625" style="414" customWidth="1"/>
    <col min="15622" max="15622" width="10.7109375" style="414" customWidth="1"/>
    <col min="15623" max="15623" width="9.42578125" style="414" customWidth="1"/>
    <col min="15624" max="15624" width="10.5703125" style="414" customWidth="1"/>
    <col min="15625" max="15625" width="13.7109375" style="414" customWidth="1"/>
    <col min="15626" max="15627" width="10.42578125" style="414" customWidth="1"/>
    <col min="15628" max="15628" width="10.28515625" style="414" customWidth="1"/>
    <col min="15629" max="15629" width="9.42578125" style="414" customWidth="1"/>
    <col min="15630" max="15630" width="8.7109375" style="414" customWidth="1"/>
    <col min="15631" max="15631" width="10.42578125" style="414" customWidth="1"/>
    <col min="15632" max="15632" width="10.28515625" style="414" customWidth="1"/>
    <col min="15633" max="15872" width="11.42578125" style="414"/>
    <col min="15873" max="15873" width="7" style="414" customWidth="1"/>
    <col min="15874" max="15874" width="10.7109375" style="414" customWidth="1"/>
    <col min="15875" max="15875" width="10.5703125" style="414" customWidth="1"/>
    <col min="15876" max="15876" width="10.7109375" style="414" customWidth="1"/>
    <col min="15877" max="15877" width="10.28515625" style="414" customWidth="1"/>
    <col min="15878" max="15878" width="10.7109375" style="414" customWidth="1"/>
    <col min="15879" max="15879" width="9.42578125" style="414" customWidth="1"/>
    <col min="15880" max="15880" width="10.5703125" style="414" customWidth="1"/>
    <col min="15881" max="15881" width="13.7109375" style="414" customWidth="1"/>
    <col min="15882" max="15883" width="10.42578125" style="414" customWidth="1"/>
    <col min="15884" max="15884" width="10.28515625" style="414" customWidth="1"/>
    <col min="15885" max="15885" width="9.42578125" style="414" customWidth="1"/>
    <col min="15886" max="15886" width="8.7109375" style="414" customWidth="1"/>
    <col min="15887" max="15887" width="10.42578125" style="414" customWidth="1"/>
    <col min="15888" max="15888" width="10.28515625" style="414" customWidth="1"/>
    <col min="15889" max="16128" width="11.42578125" style="414"/>
    <col min="16129" max="16129" width="7" style="414" customWidth="1"/>
    <col min="16130" max="16130" width="10.7109375" style="414" customWidth="1"/>
    <col min="16131" max="16131" width="10.5703125" style="414" customWidth="1"/>
    <col min="16132" max="16132" width="10.7109375" style="414" customWidth="1"/>
    <col min="16133" max="16133" width="10.28515625" style="414" customWidth="1"/>
    <col min="16134" max="16134" width="10.7109375" style="414" customWidth="1"/>
    <col min="16135" max="16135" width="9.42578125" style="414" customWidth="1"/>
    <col min="16136" max="16136" width="10.5703125" style="414" customWidth="1"/>
    <col min="16137" max="16137" width="13.7109375" style="414" customWidth="1"/>
    <col min="16138" max="16139" width="10.42578125" style="414" customWidth="1"/>
    <col min="16140" max="16140" width="10.28515625" style="414" customWidth="1"/>
    <col min="16141" max="16141" width="9.42578125" style="414" customWidth="1"/>
    <col min="16142" max="16142" width="8.7109375" style="414" customWidth="1"/>
    <col min="16143" max="16143" width="10.42578125" style="414" customWidth="1"/>
    <col min="16144" max="16144" width="10.28515625" style="414" customWidth="1"/>
    <col min="16145" max="16384" width="11.42578125" style="414"/>
  </cols>
  <sheetData>
    <row r="1" spans="1:21" ht="15" customHeight="1" x14ac:dyDescent="0.2">
      <c r="A1" s="847" t="s">
        <v>1706</v>
      </c>
      <c r="B1" s="847"/>
      <c r="C1" s="847"/>
      <c r="D1" s="847"/>
      <c r="E1" s="847"/>
      <c r="F1" s="847"/>
      <c r="G1" s="847"/>
      <c r="H1" s="847"/>
      <c r="I1" s="847"/>
      <c r="J1" s="847"/>
      <c r="K1" s="847"/>
      <c r="L1" s="847"/>
      <c r="M1" s="847"/>
      <c r="N1" s="847"/>
      <c r="O1" s="847"/>
      <c r="P1" s="847"/>
    </row>
    <row r="2" spans="1:21" ht="15" customHeight="1" x14ac:dyDescent="0.2">
      <c r="A2" s="847" t="s">
        <v>1778</v>
      </c>
      <c r="B2" s="847"/>
      <c r="C2" s="847"/>
      <c r="D2" s="847"/>
      <c r="E2" s="847"/>
      <c r="F2" s="847" t="s">
        <v>1708</v>
      </c>
      <c r="G2" s="847"/>
      <c r="H2" s="847"/>
      <c r="I2" s="847"/>
      <c r="J2" s="847"/>
      <c r="K2" s="847"/>
      <c r="L2" s="847"/>
      <c r="M2" s="847"/>
      <c r="N2" s="847"/>
      <c r="O2" s="847"/>
      <c r="P2" s="847"/>
    </row>
    <row r="3" spans="1:21" ht="15" customHeight="1" x14ac:dyDescent="0.2">
      <c r="E3" s="415"/>
    </row>
    <row r="4" spans="1:21" ht="15" customHeight="1" x14ac:dyDescent="0.25">
      <c r="A4" s="848" t="s">
        <v>1709</v>
      </c>
      <c r="B4" s="848"/>
      <c r="C4" s="848"/>
      <c r="D4" s="848"/>
      <c r="E4" s="848"/>
      <c r="F4" s="415"/>
      <c r="K4" s="415"/>
      <c r="N4" s="415" t="s">
        <v>1710</v>
      </c>
      <c r="O4" s="416">
        <f>IF(HorasAmortizaciónEquipoCamión=0,0,ROUND(Valor_CamiónAcoplado*PorcentajeEquipoAmortizarCamión/HorasAmortizaciónEquipoCamión,3))</f>
        <v>0</v>
      </c>
    </row>
    <row r="5" spans="1:21" ht="15" customHeight="1" x14ac:dyDescent="0.2">
      <c r="A5" s="417"/>
      <c r="B5" s="417"/>
      <c r="C5" s="417"/>
      <c r="D5" s="417"/>
      <c r="E5" s="417"/>
      <c r="F5" s="415"/>
      <c r="K5" s="415"/>
      <c r="O5" s="418"/>
    </row>
    <row r="6" spans="1:21" ht="15" customHeight="1" x14ac:dyDescent="0.2">
      <c r="A6" s="483"/>
      <c r="B6" s="483"/>
      <c r="C6" s="483"/>
      <c r="D6" s="483"/>
      <c r="E6" s="483"/>
      <c r="F6" s="415"/>
      <c r="K6" s="415"/>
      <c r="O6" s="418"/>
      <c r="Q6" s="417"/>
      <c r="R6" s="417"/>
      <c r="S6" s="417"/>
      <c r="T6" s="417"/>
      <c r="U6" s="417"/>
    </row>
    <row r="7" spans="1:21" ht="15" customHeight="1" x14ac:dyDescent="0.2">
      <c r="A7" s="863" t="s">
        <v>1711</v>
      </c>
      <c r="B7" s="863"/>
      <c r="C7" s="863"/>
      <c r="D7" s="863"/>
      <c r="E7" s="472"/>
      <c r="F7" s="415"/>
      <c r="G7" s="419"/>
      <c r="H7" s="417"/>
      <c r="I7" s="849"/>
      <c r="J7" s="420"/>
      <c r="K7" s="421"/>
      <c r="N7" s="415" t="s">
        <v>1712</v>
      </c>
      <c r="O7" s="416">
        <f>ROUND(Valor_CamiónAcoplado*E10/4000,3)</f>
        <v>0</v>
      </c>
      <c r="Q7" s="419"/>
      <c r="R7" s="422"/>
      <c r="S7" s="850"/>
      <c r="T7" s="423"/>
      <c r="U7" s="420"/>
    </row>
    <row r="8" spans="1:21" ht="15" customHeight="1" x14ac:dyDescent="0.2">
      <c r="A8" s="863" t="s">
        <v>1713</v>
      </c>
      <c r="B8" s="863"/>
      <c r="C8" s="863"/>
      <c r="D8" s="863"/>
      <c r="E8" s="473"/>
      <c r="F8" s="415"/>
      <c r="G8" s="851"/>
      <c r="H8" s="851"/>
      <c r="I8" s="849"/>
      <c r="K8" s="415"/>
      <c r="O8" s="418"/>
      <c r="Q8" s="851"/>
      <c r="R8" s="851"/>
      <c r="S8" s="850"/>
      <c r="T8" s="417"/>
      <c r="U8" s="417"/>
    </row>
    <row r="9" spans="1:21" ht="15" customHeight="1" x14ac:dyDescent="0.2">
      <c r="A9" s="863" t="s">
        <v>1714</v>
      </c>
      <c r="B9" s="863"/>
      <c r="C9" s="863"/>
      <c r="D9" s="863"/>
      <c r="E9" s="474"/>
      <c r="F9" s="415"/>
      <c r="K9" s="415"/>
      <c r="O9" s="418"/>
    </row>
    <row r="10" spans="1:21" ht="15" customHeight="1" x14ac:dyDescent="0.2">
      <c r="A10" s="863" t="s">
        <v>1715</v>
      </c>
      <c r="B10" s="863"/>
      <c r="C10" s="863"/>
      <c r="D10" s="863"/>
      <c r="E10" s="474"/>
      <c r="F10" s="415"/>
      <c r="K10" s="415"/>
      <c r="N10" s="415" t="s">
        <v>1716</v>
      </c>
      <c r="O10" s="416">
        <f>ROUND(O4*Porcentaje_Reparaciones_Repuestos,3)</f>
        <v>0</v>
      </c>
      <c r="Q10" s="417"/>
      <c r="R10" s="417"/>
      <c r="S10" s="417"/>
      <c r="T10" s="417"/>
      <c r="U10" s="417"/>
    </row>
    <row r="11" spans="1:21" ht="15" customHeight="1" x14ac:dyDescent="0.2">
      <c r="A11" s="863" t="s">
        <v>1717</v>
      </c>
      <c r="B11" s="863"/>
      <c r="C11" s="863"/>
      <c r="D11" s="863"/>
      <c r="E11" s="474"/>
      <c r="F11" s="415"/>
      <c r="K11" s="415"/>
      <c r="O11" s="418"/>
      <c r="Q11" s="417"/>
      <c r="R11" s="417"/>
      <c r="S11" s="417"/>
      <c r="T11" s="417"/>
      <c r="U11" s="417"/>
    </row>
    <row r="12" spans="1:21" ht="15" customHeight="1" x14ac:dyDescent="0.2">
      <c r="A12" s="863" t="s">
        <v>1718</v>
      </c>
      <c r="B12" s="863"/>
      <c r="C12" s="863"/>
      <c r="D12" s="863"/>
      <c r="E12" s="474"/>
      <c r="F12" s="415"/>
      <c r="K12" s="415"/>
      <c r="O12" s="418"/>
      <c r="Q12" s="417"/>
      <c r="R12" s="417"/>
      <c r="S12" s="417"/>
      <c r="T12" s="417"/>
      <c r="U12" s="417"/>
    </row>
    <row r="13" spans="1:21" ht="15" customHeight="1" x14ac:dyDescent="0.2">
      <c r="A13" s="863" t="s">
        <v>1719</v>
      </c>
      <c r="B13" s="863"/>
      <c r="C13" s="863"/>
      <c r="D13" s="863"/>
      <c r="E13" s="473"/>
      <c r="F13" s="415"/>
      <c r="G13" s="417"/>
      <c r="H13" s="417"/>
      <c r="I13" s="417"/>
      <c r="J13" s="417"/>
      <c r="K13" s="424"/>
      <c r="N13" s="415" t="s">
        <v>1720</v>
      </c>
      <c r="O13" s="416">
        <f>ROUND(Tiempo_lavado_en_horas*Mano_Obra_Lavado*Cantidad_lavado_al_mes*12/2000,3)</f>
        <v>0</v>
      </c>
      <c r="Q13" s="417"/>
      <c r="R13" s="417"/>
      <c r="S13" s="417"/>
      <c r="T13" s="417"/>
      <c r="U13" s="417"/>
    </row>
    <row r="14" spans="1:21" ht="15" customHeight="1" x14ac:dyDescent="0.2">
      <c r="A14" s="863" t="s">
        <v>1721</v>
      </c>
      <c r="B14" s="863"/>
      <c r="C14" s="863"/>
      <c r="D14" s="863"/>
      <c r="E14" s="475"/>
      <c r="F14" s="415"/>
      <c r="G14" s="417"/>
      <c r="H14" s="417"/>
      <c r="I14" s="417"/>
      <c r="J14" s="417"/>
      <c r="K14" s="424"/>
      <c r="O14" s="418"/>
      <c r="Q14" s="417"/>
      <c r="R14" s="417"/>
      <c r="S14" s="417"/>
      <c r="T14" s="417"/>
      <c r="U14" s="417"/>
    </row>
    <row r="15" spans="1:21" ht="15" customHeight="1" x14ac:dyDescent="0.2">
      <c r="A15" s="863" t="s">
        <v>1722</v>
      </c>
      <c r="B15" s="863"/>
      <c r="C15" s="863"/>
      <c r="D15" s="863"/>
      <c r="E15" s="476"/>
      <c r="F15" s="415"/>
      <c r="G15" s="419"/>
      <c r="H15" s="417"/>
      <c r="I15" s="850"/>
      <c r="J15" s="420"/>
      <c r="K15" s="425"/>
      <c r="O15" s="418"/>
      <c r="Q15" s="426"/>
      <c r="R15" s="427"/>
      <c r="S15" s="850"/>
      <c r="T15" s="423"/>
      <c r="U15" s="428"/>
    </row>
    <row r="16" spans="1:21" ht="15" customHeight="1" x14ac:dyDescent="0.2">
      <c r="A16" s="863" t="s">
        <v>1723</v>
      </c>
      <c r="B16" s="863"/>
      <c r="C16" s="863"/>
      <c r="D16" s="863"/>
      <c r="E16" s="477"/>
      <c r="F16" s="415"/>
      <c r="G16" s="851"/>
      <c r="H16" s="851"/>
      <c r="I16" s="850"/>
      <c r="J16" s="417"/>
      <c r="K16" s="424"/>
      <c r="N16" s="415" t="s">
        <v>1724</v>
      </c>
      <c r="O16" s="416">
        <f>ROUND(Valor_CamiónAcoplado*PorSegurosPatentesImpustoCamión/2000,3)</f>
        <v>0</v>
      </c>
      <c r="Q16" s="852"/>
      <c r="R16" s="852"/>
      <c r="S16" s="850"/>
      <c r="T16" s="417"/>
      <c r="U16" s="417"/>
    </row>
    <row r="17" spans="1:21" ht="15" customHeight="1" x14ac:dyDescent="0.2">
      <c r="A17" s="863" t="s">
        <v>1725</v>
      </c>
      <c r="B17" s="863"/>
      <c r="C17" s="863"/>
      <c r="D17" s="863"/>
      <c r="E17" s="478"/>
      <c r="F17" s="415"/>
      <c r="K17" s="415"/>
      <c r="O17" s="418"/>
    </row>
    <row r="18" spans="1:21" ht="15" customHeight="1" x14ac:dyDescent="0.2">
      <c r="A18" s="863" t="s">
        <v>1726</v>
      </c>
      <c r="B18" s="863"/>
      <c r="C18" s="863"/>
      <c r="D18" s="863"/>
      <c r="E18" s="479"/>
      <c r="F18" s="415"/>
      <c r="K18" s="415"/>
      <c r="O18" s="418"/>
    </row>
    <row r="19" spans="1:21" ht="15" customHeight="1" x14ac:dyDescent="0.2">
      <c r="A19" s="863" t="s">
        <v>1727</v>
      </c>
      <c r="B19" s="863"/>
      <c r="C19" s="863"/>
      <c r="D19" s="863"/>
      <c r="E19" s="480"/>
      <c r="F19" s="415"/>
      <c r="G19" s="419"/>
      <c r="H19" s="417"/>
      <c r="I19" s="417"/>
      <c r="J19" s="420"/>
      <c r="K19" s="425"/>
      <c r="N19" s="415" t="s">
        <v>1728</v>
      </c>
      <c r="O19" s="416">
        <f>IF(V_U_cámara_cubiertas_CamiónAcoplado=0,0,ROUND(Cantidad_camaras_cubiertas*Valor_cámara_cubiertas_CamiónAcoplado/V_U_cámara_cubiertas_CamiónAcoplado,3))</f>
        <v>0</v>
      </c>
      <c r="Q19" s="429"/>
      <c r="R19" s="430"/>
      <c r="S19" s="431"/>
      <c r="T19" s="432"/>
      <c r="U19" s="433"/>
    </row>
    <row r="20" spans="1:21" ht="15" customHeight="1" x14ac:dyDescent="0.2">
      <c r="A20" s="863" t="s">
        <v>1729</v>
      </c>
      <c r="B20" s="863"/>
      <c r="C20" s="863"/>
      <c r="D20" s="863"/>
      <c r="E20" s="474"/>
      <c r="F20" s="415"/>
      <c r="G20" s="851"/>
      <c r="H20" s="851"/>
      <c r="I20" s="417"/>
      <c r="J20" s="417"/>
      <c r="K20" s="424"/>
      <c r="O20" s="418"/>
    </row>
    <row r="21" spans="1:21" ht="15" customHeight="1" x14ac:dyDescent="0.2">
      <c r="A21" s="863" t="s">
        <v>1780</v>
      </c>
      <c r="B21" s="863"/>
      <c r="C21" s="863"/>
      <c r="D21" s="863" t="s">
        <v>1730</v>
      </c>
      <c r="E21" s="481"/>
      <c r="G21" s="862"/>
      <c r="H21" s="862"/>
      <c r="I21" s="862"/>
      <c r="K21" s="415"/>
      <c r="O21" s="418"/>
    </row>
    <row r="22" spans="1:21" ht="15" customHeight="1" x14ac:dyDescent="0.2">
      <c r="A22" s="863" t="s">
        <v>1781</v>
      </c>
      <c r="B22" s="863"/>
      <c r="C22" s="863"/>
      <c r="D22" s="863" t="s">
        <v>1731</v>
      </c>
      <c r="E22" s="482"/>
      <c r="G22" s="417"/>
      <c r="H22" s="417"/>
      <c r="I22" s="417"/>
      <c r="J22" s="417"/>
      <c r="K22" s="424"/>
      <c r="N22" s="415" t="s">
        <v>1732</v>
      </c>
      <c r="O22" s="416">
        <f>ROUND(Consumo_gasoil_CamiónAcoplado_porkm*Costo_gasoil*(1+Porcentaje_Lubricantes),3)</f>
        <v>0</v>
      </c>
    </row>
    <row r="23" spans="1:21" ht="15" customHeight="1" x14ac:dyDescent="0.25">
      <c r="A23" s="484"/>
      <c r="B23" s="484"/>
      <c r="C23" s="484"/>
      <c r="D23" s="484"/>
      <c r="E23" s="484"/>
      <c r="G23" s="434"/>
      <c r="H23" s="435"/>
      <c r="I23" s="436"/>
      <c r="J23" s="437"/>
      <c r="K23" s="425"/>
    </row>
    <row r="24" spans="1:21" s="417" customFormat="1" ht="15" customHeight="1" x14ac:dyDescent="0.2"/>
    <row r="25" spans="1:21" ht="15" customHeight="1" x14ac:dyDescent="0.2">
      <c r="A25" s="858" t="s">
        <v>1733</v>
      </c>
      <c r="B25" s="858"/>
      <c r="C25" s="858"/>
      <c r="D25" s="858"/>
      <c r="E25" s="858"/>
      <c r="F25" s="858"/>
      <c r="G25" s="858"/>
      <c r="H25" s="859" t="s">
        <v>1734</v>
      </c>
      <c r="I25" s="859"/>
      <c r="J25" s="859"/>
      <c r="K25" s="859"/>
      <c r="L25" s="859"/>
      <c r="M25" s="859"/>
      <c r="N25" s="859"/>
      <c r="O25" s="859"/>
      <c r="P25" s="860" t="s">
        <v>1735</v>
      </c>
    </row>
    <row r="26" spans="1:21" ht="15" customHeight="1" x14ac:dyDescent="0.2">
      <c r="A26" s="438" t="s">
        <v>1736</v>
      </c>
      <c r="B26" s="438" t="s">
        <v>1737</v>
      </c>
      <c r="C26" s="438" t="s">
        <v>1738</v>
      </c>
      <c r="D26" s="438" t="s">
        <v>1739</v>
      </c>
      <c r="E26" s="438" t="s">
        <v>1740</v>
      </c>
      <c r="F26" s="438" t="s">
        <v>1006</v>
      </c>
      <c r="G26" s="438" t="s">
        <v>1741</v>
      </c>
      <c r="H26" s="861" t="s">
        <v>1668</v>
      </c>
      <c r="I26" s="861" t="s">
        <v>1742</v>
      </c>
      <c r="J26" s="438" t="s">
        <v>1743</v>
      </c>
      <c r="K26" s="438" t="s">
        <v>1744</v>
      </c>
      <c r="L26" s="438" t="s">
        <v>1745</v>
      </c>
      <c r="M26" s="438" t="s">
        <v>1746</v>
      </c>
      <c r="N26" s="438" t="s">
        <v>1747</v>
      </c>
      <c r="O26" s="439" t="s">
        <v>1779</v>
      </c>
      <c r="P26" s="860"/>
    </row>
    <row r="27" spans="1:21" ht="15" customHeight="1" x14ac:dyDescent="0.2">
      <c r="A27" s="438" t="s">
        <v>1749</v>
      </c>
      <c r="B27" s="438" t="s">
        <v>1750</v>
      </c>
      <c r="C27" s="438" t="s">
        <v>1751</v>
      </c>
      <c r="D27" s="438" t="s">
        <v>1752</v>
      </c>
      <c r="E27" s="438" t="s">
        <v>1753</v>
      </c>
      <c r="F27" s="438" t="s">
        <v>1754</v>
      </c>
      <c r="G27" s="438" t="s">
        <v>1755</v>
      </c>
      <c r="H27" s="861"/>
      <c r="I27" s="861"/>
      <c r="J27" s="438" t="s">
        <v>1756</v>
      </c>
      <c r="K27" s="438" t="s">
        <v>1757</v>
      </c>
      <c r="L27" s="438" t="s">
        <v>1758</v>
      </c>
      <c r="M27" s="438" t="s">
        <v>1759</v>
      </c>
      <c r="N27" s="438" t="s">
        <v>1760</v>
      </c>
      <c r="O27" s="439" t="s">
        <v>1761</v>
      </c>
      <c r="P27" s="860"/>
    </row>
    <row r="28" spans="1:21" ht="15" customHeight="1" x14ac:dyDescent="0.2">
      <c r="A28" s="857" t="s">
        <v>1762</v>
      </c>
      <c r="B28" s="857" t="s">
        <v>1763</v>
      </c>
      <c r="C28" s="857" t="s">
        <v>1764</v>
      </c>
      <c r="D28" s="857" t="s">
        <v>1765</v>
      </c>
      <c r="E28" s="857" t="s">
        <v>1766</v>
      </c>
      <c r="F28" s="857" t="s">
        <v>1767</v>
      </c>
      <c r="G28" s="857" t="s">
        <v>1768</v>
      </c>
      <c r="H28" s="857" t="s">
        <v>1769</v>
      </c>
      <c r="I28" s="857" t="s">
        <v>1770</v>
      </c>
      <c r="J28" s="857" t="s">
        <v>1771</v>
      </c>
      <c r="K28" s="857" t="s">
        <v>1772</v>
      </c>
      <c r="L28" s="857" t="s">
        <v>1773</v>
      </c>
      <c r="M28" s="857" t="s">
        <v>1774</v>
      </c>
      <c r="N28" s="857" t="s">
        <v>1775</v>
      </c>
      <c r="O28" s="857" t="s">
        <v>1776</v>
      </c>
      <c r="P28" s="853" t="s">
        <v>1777</v>
      </c>
    </row>
    <row r="29" spans="1:21" ht="15" customHeight="1" x14ac:dyDescent="0.2">
      <c r="A29" s="857"/>
      <c r="B29" s="857"/>
      <c r="C29" s="857"/>
      <c r="D29" s="857"/>
      <c r="E29" s="857"/>
      <c r="F29" s="857"/>
      <c r="G29" s="857"/>
      <c r="H29" s="857"/>
      <c r="I29" s="857"/>
      <c r="J29" s="857"/>
      <c r="K29" s="857"/>
      <c r="L29" s="857"/>
      <c r="M29" s="857"/>
      <c r="N29" s="857"/>
      <c r="O29" s="857"/>
      <c r="P29" s="853"/>
    </row>
    <row r="30" spans="1:21" ht="15" customHeight="1" x14ac:dyDescent="0.2">
      <c r="A30" s="440">
        <v>55</v>
      </c>
      <c r="B30" s="449"/>
      <c r="C30" s="442">
        <f>IF(B30=0,0,(2*A30*60)/B30)</f>
        <v>0</v>
      </c>
      <c r="D30" s="442"/>
      <c r="E30" s="442">
        <f t="shared" ref="E30:E64" si="0">+C30+D30</f>
        <v>0</v>
      </c>
      <c r="F30" s="450">
        <f>A30*$E$21</f>
        <v>0</v>
      </c>
      <c r="G30" s="445">
        <f t="shared" ref="G30:G64" si="1">+A30*2</f>
        <v>110</v>
      </c>
      <c r="H30" s="446">
        <f>'Transp. Camión con Acoplado'!A*(E30/60)</f>
        <v>0</v>
      </c>
      <c r="I30" s="446">
        <f>'Transp. Camión con Acoplado'!B*(E30/60)</f>
        <v>0</v>
      </c>
      <c r="J30" s="446">
        <f>'Transp. Camión con Acoplado'!C_*(C30/60)</f>
        <v>0</v>
      </c>
      <c r="K30" s="446">
        <f>'Transp. Camión con Acoplado'!D*(E30/60)</f>
        <v>0</v>
      </c>
      <c r="L30" s="446">
        <f>'Transp. Camión con Acoplado'!E*(E30/60)</f>
        <v>0</v>
      </c>
      <c r="M30" s="446">
        <f>'Transp. Camión con Acoplado'!F_*G30</f>
        <v>0</v>
      </c>
      <c r="N30" s="446">
        <f t="shared" ref="N30:N64" si="2">Mano_Obra_Lavado*(E30/60)</f>
        <v>0</v>
      </c>
      <c r="O30" s="446">
        <f>+G30*'Transp. Camión con Acoplado'!G</f>
        <v>0</v>
      </c>
      <c r="P30" s="447">
        <f>IF(F30=0,0,ROUND(SUM(H30:O30)/F30,3))</f>
        <v>0</v>
      </c>
      <c r="R30" s="448"/>
    </row>
    <row r="31" spans="1:21" ht="15" customHeight="1" x14ac:dyDescent="0.2">
      <c r="A31" s="440">
        <v>60</v>
      </c>
      <c r="B31" s="449"/>
      <c r="C31" s="442">
        <f t="shared" ref="C31:C64" si="3">IF(B31=0,0,(2*A31*60)/B31)</f>
        <v>0</v>
      </c>
      <c r="D31" s="442"/>
      <c r="E31" s="442">
        <f t="shared" si="0"/>
        <v>0</v>
      </c>
      <c r="F31" s="450">
        <f t="shared" ref="F31:F64" si="4">A31*$E$21</f>
        <v>0</v>
      </c>
      <c r="G31" s="445">
        <f t="shared" si="1"/>
        <v>120</v>
      </c>
      <c r="H31" s="446">
        <f>'Transp. Camión con Acoplado'!A*(E31/60)</f>
        <v>0</v>
      </c>
      <c r="I31" s="446">
        <f>'Transp. Camión con Acoplado'!B*(E31/60)</f>
        <v>0</v>
      </c>
      <c r="J31" s="446">
        <f>'Transp. Camión con Acoplado'!C_*(C31/60)</f>
        <v>0</v>
      </c>
      <c r="K31" s="446">
        <f>'Transp. Camión con Acoplado'!D*(E31/60)</f>
        <v>0</v>
      </c>
      <c r="L31" s="446">
        <f>'Transp. Camión con Acoplado'!E*(E31/60)</f>
        <v>0</v>
      </c>
      <c r="M31" s="446">
        <f>'Transp. Camión con Acoplado'!F_*G31</f>
        <v>0</v>
      </c>
      <c r="N31" s="446">
        <f t="shared" si="2"/>
        <v>0</v>
      </c>
      <c r="O31" s="446">
        <f>+G31*'Transp. Camión con Acoplado'!G</f>
        <v>0</v>
      </c>
      <c r="P31" s="447">
        <f t="shared" ref="P31:P64" si="5">IF(F31=0,0,ROUND(SUM(H31:O31)/F31,3))</f>
        <v>0</v>
      </c>
      <c r="R31" s="448"/>
    </row>
    <row r="32" spans="1:21" ht="15" customHeight="1" x14ac:dyDescent="0.2">
      <c r="A32" s="440">
        <v>65</v>
      </c>
      <c r="B32" s="449"/>
      <c r="C32" s="442">
        <f t="shared" si="3"/>
        <v>0</v>
      </c>
      <c r="D32" s="442"/>
      <c r="E32" s="442">
        <f t="shared" si="0"/>
        <v>0</v>
      </c>
      <c r="F32" s="450">
        <f t="shared" si="4"/>
        <v>0</v>
      </c>
      <c r="G32" s="445">
        <f t="shared" si="1"/>
        <v>130</v>
      </c>
      <c r="H32" s="446">
        <f>'Transp. Camión con Acoplado'!A*(E32/60)</f>
        <v>0</v>
      </c>
      <c r="I32" s="446">
        <f>'Transp. Camión con Acoplado'!B*(E32/60)</f>
        <v>0</v>
      </c>
      <c r="J32" s="446">
        <f>'Transp. Camión con Acoplado'!C_*(C32/60)</f>
        <v>0</v>
      </c>
      <c r="K32" s="446">
        <f>'Transp. Camión con Acoplado'!D*(E32/60)</f>
        <v>0</v>
      </c>
      <c r="L32" s="446">
        <f>'Transp. Camión con Acoplado'!E*(E32/60)</f>
        <v>0</v>
      </c>
      <c r="M32" s="446">
        <f>'Transp. Camión con Acoplado'!F_*G32</f>
        <v>0</v>
      </c>
      <c r="N32" s="446">
        <f t="shared" si="2"/>
        <v>0</v>
      </c>
      <c r="O32" s="446">
        <f>+G32*'Transp. Camión con Acoplado'!G</f>
        <v>0</v>
      </c>
      <c r="P32" s="447">
        <f t="shared" si="5"/>
        <v>0</v>
      </c>
      <c r="R32" s="448"/>
    </row>
    <row r="33" spans="1:18" ht="15" customHeight="1" x14ac:dyDescent="0.2">
      <c r="A33" s="440">
        <v>70</v>
      </c>
      <c r="B33" s="449"/>
      <c r="C33" s="442">
        <f t="shared" si="3"/>
        <v>0</v>
      </c>
      <c r="D33" s="442"/>
      <c r="E33" s="442">
        <f t="shared" si="0"/>
        <v>0</v>
      </c>
      <c r="F33" s="450">
        <f t="shared" si="4"/>
        <v>0</v>
      </c>
      <c r="G33" s="445">
        <f t="shared" si="1"/>
        <v>140</v>
      </c>
      <c r="H33" s="446">
        <f>'Transp. Camión con Acoplado'!A*(E33/60)</f>
        <v>0</v>
      </c>
      <c r="I33" s="446">
        <f>'Transp. Camión con Acoplado'!B*(E33/60)</f>
        <v>0</v>
      </c>
      <c r="J33" s="446">
        <f>'Transp. Camión con Acoplado'!C_*(C33/60)</f>
        <v>0</v>
      </c>
      <c r="K33" s="446">
        <f>'Transp. Camión con Acoplado'!D*(E33/60)</f>
        <v>0</v>
      </c>
      <c r="L33" s="446">
        <f>'Transp. Camión con Acoplado'!E*(E33/60)</f>
        <v>0</v>
      </c>
      <c r="M33" s="446">
        <f>'Transp. Camión con Acoplado'!F_*G33</f>
        <v>0</v>
      </c>
      <c r="N33" s="446">
        <f t="shared" si="2"/>
        <v>0</v>
      </c>
      <c r="O33" s="446">
        <f>+G33*'Transp. Camión con Acoplado'!G</f>
        <v>0</v>
      </c>
      <c r="P33" s="447">
        <f t="shared" si="5"/>
        <v>0</v>
      </c>
      <c r="R33" s="448"/>
    </row>
    <row r="34" spans="1:18" ht="15" customHeight="1" x14ac:dyDescent="0.2">
      <c r="A34" s="440">
        <v>75</v>
      </c>
      <c r="B34" s="449"/>
      <c r="C34" s="442">
        <f t="shared" si="3"/>
        <v>0</v>
      </c>
      <c r="D34" s="442"/>
      <c r="E34" s="442">
        <f t="shared" si="0"/>
        <v>0</v>
      </c>
      <c r="F34" s="450">
        <f t="shared" si="4"/>
        <v>0</v>
      </c>
      <c r="G34" s="445">
        <f t="shared" si="1"/>
        <v>150</v>
      </c>
      <c r="H34" s="446">
        <f>'Transp. Camión con Acoplado'!A*(E34/60)</f>
        <v>0</v>
      </c>
      <c r="I34" s="446">
        <f>'Transp. Camión con Acoplado'!B*(E34/60)</f>
        <v>0</v>
      </c>
      <c r="J34" s="446">
        <f>'Transp. Camión con Acoplado'!C_*(C34/60)</f>
        <v>0</v>
      </c>
      <c r="K34" s="446">
        <f>'Transp. Camión con Acoplado'!D*(E34/60)</f>
        <v>0</v>
      </c>
      <c r="L34" s="446">
        <f>'Transp. Camión con Acoplado'!E*(E34/60)</f>
        <v>0</v>
      </c>
      <c r="M34" s="446">
        <f>'Transp. Camión con Acoplado'!F_*G34</f>
        <v>0</v>
      </c>
      <c r="N34" s="446">
        <f t="shared" si="2"/>
        <v>0</v>
      </c>
      <c r="O34" s="446">
        <f>+G34*'Transp. Camión con Acoplado'!G</f>
        <v>0</v>
      </c>
      <c r="P34" s="447">
        <f t="shared" si="5"/>
        <v>0</v>
      </c>
      <c r="R34" s="448"/>
    </row>
    <row r="35" spans="1:18" ht="15" customHeight="1" x14ac:dyDescent="0.2">
      <c r="A35" s="440">
        <v>80</v>
      </c>
      <c r="B35" s="449"/>
      <c r="C35" s="442">
        <f t="shared" si="3"/>
        <v>0</v>
      </c>
      <c r="D35" s="442"/>
      <c r="E35" s="442">
        <f t="shared" si="0"/>
        <v>0</v>
      </c>
      <c r="F35" s="450">
        <f t="shared" si="4"/>
        <v>0</v>
      </c>
      <c r="G35" s="445">
        <f t="shared" si="1"/>
        <v>160</v>
      </c>
      <c r="H35" s="446">
        <f>'Transp. Camión con Acoplado'!A*(E35/60)</f>
        <v>0</v>
      </c>
      <c r="I35" s="446">
        <f>'Transp. Camión con Acoplado'!B*(E35/60)</f>
        <v>0</v>
      </c>
      <c r="J35" s="446">
        <f>'Transp. Camión con Acoplado'!C_*(C35/60)</f>
        <v>0</v>
      </c>
      <c r="K35" s="446">
        <f>'Transp. Camión con Acoplado'!D*(E35/60)</f>
        <v>0</v>
      </c>
      <c r="L35" s="446">
        <f>'Transp. Camión con Acoplado'!E*(E35/60)</f>
        <v>0</v>
      </c>
      <c r="M35" s="446">
        <f>'Transp. Camión con Acoplado'!F_*G35</f>
        <v>0</v>
      </c>
      <c r="N35" s="446">
        <f t="shared" si="2"/>
        <v>0</v>
      </c>
      <c r="O35" s="446">
        <f>+G35*'Transp. Camión con Acoplado'!G</f>
        <v>0</v>
      </c>
      <c r="P35" s="447">
        <f t="shared" si="5"/>
        <v>0</v>
      </c>
      <c r="R35" s="448"/>
    </row>
    <row r="36" spans="1:18" ht="15" customHeight="1" x14ac:dyDescent="0.2">
      <c r="A36" s="440">
        <v>85</v>
      </c>
      <c r="B36" s="449"/>
      <c r="C36" s="442">
        <f t="shared" si="3"/>
        <v>0</v>
      </c>
      <c r="D36" s="442"/>
      <c r="E36" s="442">
        <f t="shared" si="0"/>
        <v>0</v>
      </c>
      <c r="F36" s="450">
        <f t="shared" si="4"/>
        <v>0</v>
      </c>
      <c r="G36" s="445">
        <f t="shared" si="1"/>
        <v>170</v>
      </c>
      <c r="H36" s="446">
        <f>'Transp. Camión con Acoplado'!A*(E36/60)</f>
        <v>0</v>
      </c>
      <c r="I36" s="446">
        <f>'Transp. Camión con Acoplado'!B*(E36/60)</f>
        <v>0</v>
      </c>
      <c r="J36" s="446">
        <f>'Transp. Camión con Acoplado'!C_*(C36/60)</f>
        <v>0</v>
      </c>
      <c r="K36" s="446">
        <f>'Transp. Camión con Acoplado'!D*(E36/60)</f>
        <v>0</v>
      </c>
      <c r="L36" s="446">
        <f>'Transp. Camión con Acoplado'!E*(E36/60)</f>
        <v>0</v>
      </c>
      <c r="M36" s="446">
        <f>'Transp. Camión con Acoplado'!F_*G36</f>
        <v>0</v>
      </c>
      <c r="N36" s="446">
        <f t="shared" si="2"/>
        <v>0</v>
      </c>
      <c r="O36" s="446">
        <f>+G36*'Transp. Camión con Acoplado'!G</f>
        <v>0</v>
      </c>
      <c r="P36" s="447">
        <f t="shared" si="5"/>
        <v>0</v>
      </c>
      <c r="R36" s="448"/>
    </row>
    <row r="37" spans="1:18" ht="15" customHeight="1" x14ac:dyDescent="0.2">
      <c r="A37" s="440">
        <v>90</v>
      </c>
      <c r="B37" s="449"/>
      <c r="C37" s="442">
        <f t="shared" si="3"/>
        <v>0</v>
      </c>
      <c r="D37" s="442"/>
      <c r="E37" s="442">
        <f t="shared" si="0"/>
        <v>0</v>
      </c>
      <c r="F37" s="450">
        <f t="shared" si="4"/>
        <v>0</v>
      </c>
      <c r="G37" s="445">
        <f t="shared" si="1"/>
        <v>180</v>
      </c>
      <c r="H37" s="446">
        <f>'Transp. Camión con Acoplado'!A*(E37/60)</f>
        <v>0</v>
      </c>
      <c r="I37" s="446">
        <f>'Transp. Camión con Acoplado'!B*(E37/60)</f>
        <v>0</v>
      </c>
      <c r="J37" s="446">
        <f>'Transp. Camión con Acoplado'!C_*(C37/60)</f>
        <v>0</v>
      </c>
      <c r="K37" s="446">
        <f>'Transp. Camión con Acoplado'!D*(E37/60)</f>
        <v>0</v>
      </c>
      <c r="L37" s="446">
        <f>'Transp. Camión con Acoplado'!E*(E37/60)</f>
        <v>0</v>
      </c>
      <c r="M37" s="446">
        <f>'Transp. Camión con Acoplado'!F_*G37</f>
        <v>0</v>
      </c>
      <c r="N37" s="446">
        <f t="shared" si="2"/>
        <v>0</v>
      </c>
      <c r="O37" s="446">
        <f>+G37*'Transp. Camión con Acoplado'!G</f>
        <v>0</v>
      </c>
      <c r="P37" s="447">
        <f t="shared" si="5"/>
        <v>0</v>
      </c>
      <c r="R37" s="448"/>
    </row>
    <row r="38" spans="1:18" ht="15" customHeight="1" x14ac:dyDescent="0.2">
      <c r="A38" s="440">
        <v>95</v>
      </c>
      <c r="B38" s="449"/>
      <c r="C38" s="442">
        <f t="shared" si="3"/>
        <v>0</v>
      </c>
      <c r="D38" s="442"/>
      <c r="E38" s="442">
        <f t="shared" si="0"/>
        <v>0</v>
      </c>
      <c r="F38" s="450">
        <f t="shared" si="4"/>
        <v>0</v>
      </c>
      <c r="G38" s="445">
        <f t="shared" si="1"/>
        <v>190</v>
      </c>
      <c r="H38" s="446">
        <f>'Transp. Camión con Acoplado'!A*(E38/60)</f>
        <v>0</v>
      </c>
      <c r="I38" s="446">
        <f>'Transp. Camión con Acoplado'!B*(E38/60)</f>
        <v>0</v>
      </c>
      <c r="J38" s="446">
        <f>'Transp. Camión con Acoplado'!C_*(C38/60)</f>
        <v>0</v>
      </c>
      <c r="K38" s="446">
        <f>'Transp. Camión con Acoplado'!D*(E38/60)</f>
        <v>0</v>
      </c>
      <c r="L38" s="446">
        <f>'Transp. Camión con Acoplado'!E*(E38/60)</f>
        <v>0</v>
      </c>
      <c r="M38" s="446">
        <f>'Transp. Camión con Acoplado'!F_*G38</f>
        <v>0</v>
      </c>
      <c r="N38" s="446">
        <f t="shared" si="2"/>
        <v>0</v>
      </c>
      <c r="O38" s="446">
        <f>+G38*'Transp. Camión con Acoplado'!G</f>
        <v>0</v>
      </c>
      <c r="P38" s="447">
        <f t="shared" si="5"/>
        <v>0</v>
      </c>
      <c r="R38" s="448"/>
    </row>
    <row r="39" spans="1:18" ht="15" customHeight="1" x14ac:dyDescent="0.2">
      <c r="A39" s="440">
        <v>100</v>
      </c>
      <c r="B39" s="449"/>
      <c r="C39" s="442">
        <f t="shared" si="3"/>
        <v>0</v>
      </c>
      <c r="D39" s="442"/>
      <c r="E39" s="442">
        <f t="shared" si="0"/>
        <v>0</v>
      </c>
      <c r="F39" s="450">
        <f t="shared" si="4"/>
        <v>0</v>
      </c>
      <c r="G39" s="445">
        <f t="shared" si="1"/>
        <v>200</v>
      </c>
      <c r="H39" s="446">
        <f>'Transp. Camión con Acoplado'!A*(E39/60)</f>
        <v>0</v>
      </c>
      <c r="I39" s="446">
        <f>'Transp. Camión con Acoplado'!B*(E39/60)</f>
        <v>0</v>
      </c>
      <c r="J39" s="446">
        <f>'Transp. Camión con Acoplado'!C_*(C39/60)</f>
        <v>0</v>
      </c>
      <c r="K39" s="446">
        <f>'Transp. Camión con Acoplado'!D*(E39/60)</f>
        <v>0</v>
      </c>
      <c r="L39" s="446">
        <f>'Transp. Camión con Acoplado'!E*(E39/60)</f>
        <v>0</v>
      </c>
      <c r="M39" s="446">
        <f>'Transp. Camión con Acoplado'!F_*G39</f>
        <v>0</v>
      </c>
      <c r="N39" s="446">
        <f t="shared" si="2"/>
        <v>0</v>
      </c>
      <c r="O39" s="446">
        <f>+G39*'Transp. Camión con Acoplado'!G</f>
        <v>0</v>
      </c>
      <c r="P39" s="447">
        <f t="shared" si="5"/>
        <v>0</v>
      </c>
      <c r="R39" s="448"/>
    </row>
    <row r="40" spans="1:18" ht="15" customHeight="1" x14ac:dyDescent="0.2">
      <c r="A40" s="440">
        <v>105</v>
      </c>
      <c r="B40" s="449"/>
      <c r="C40" s="442">
        <f t="shared" si="3"/>
        <v>0</v>
      </c>
      <c r="D40" s="442"/>
      <c r="E40" s="442">
        <f t="shared" si="0"/>
        <v>0</v>
      </c>
      <c r="F40" s="450">
        <f t="shared" si="4"/>
        <v>0</v>
      </c>
      <c r="G40" s="445">
        <f t="shared" si="1"/>
        <v>210</v>
      </c>
      <c r="H40" s="446">
        <f>'Transp. Camión con Acoplado'!A*(E40/60)</f>
        <v>0</v>
      </c>
      <c r="I40" s="446">
        <f>'Transp. Camión con Acoplado'!B*(E40/60)</f>
        <v>0</v>
      </c>
      <c r="J40" s="446">
        <f>'Transp. Camión con Acoplado'!C_*(C40/60)</f>
        <v>0</v>
      </c>
      <c r="K40" s="446">
        <f>'Transp. Camión con Acoplado'!D*(E40/60)</f>
        <v>0</v>
      </c>
      <c r="L40" s="446">
        <f>'Transp. Camión con Acoplado'!E*(E40/60)</f>
        <v>0</v>
      </c>
      <c r="M40" s="446">
        <f>'Transp. Camión con Acoplado'!F_*G40</f>
        <v>0</v>
      </c>
      <c r="N40" s="446">
        <f t="shared" si="2"/>
        <v>0</v>
      </c>
      <c r="O40" s="446">
        <f>+G40*'Transp. Camión con Acoplado'!G</f>
        <v>0</v>
      </c>
      <c r="P40" s="447">
        <f t="shared" si="5"/>
        <v>0</v>
      </c>
      <c r="R40" s="448"/>
    </row>
    <row r="41" spans="1:18" ht="15" customHeight="1" x14ac:dyDescent="0.2">
      <c r="A41" s="440">
        <v>110</v>
      </c>
      <c r="B41" s="449"/>
      <c r="C41" s="442">
        <f t="shared" si="3"/>
        <v>0</v>
      </c>
      <c r="D41" s="442"/>
      <c r="E41" s="442">
        <f t="shared" si="0"/>
        <v>0</v>
      </c>
      <c r="F41" s="450">
        <f t="shared" si="4"/>
        <v>0</v>
      </c>
      <c r="G41" s="445">
        <f t="shared" si="1"/>
        <v>220</v>
      </c>
      <c r="H41" s="446">
        <f>'Transp. Camión con Acoplado'!A*(E41/60)</f>
        <v>0</v>
      </c>
      <c r="I41" s="446">
        <f>'Transp. Camión con Acoplado'!B*(E41/60)</f>
        <v>0</v>
      </c>
      <c r="J41" s="446">
        <f>'Transp. Camión con Acoplado'!C_*(C41/60)</f>
        <v>0</v>
      </c>
      <c r="K41" s="446">
        <f>'Transp. Camión con Acoplado'!D*(E41/60)</f>
        <v>0</v>
      </c>
      <c r="L41" s="446">
        <f>'Transp. Camión con Acoplado'!E*(E41/60)</f>
        <v>0</v>
      </c>
      <c r="M41" s="446">
        <f>'Transp. Camión con Acoplado'!F_*G41</f>
        <v>0</v>
      </c>
      <c r="N41" s="446">
        <f t="shared" si="2"/>
        <v>0</v>
      </c>
      <c r="O41" s="446">
        <f>+G41*'Transp. Camión con Acoplado'!G</f>
        <v>0</v>
      </c>
      <c r="P41" s="447">
        <f t="shared" si="5"/>
        <v>0</v>
      </c>
      <c r="R41" s="448"/>
    </row>
    <row r="42" spans="1:18" ht="15" customHeight="1" x14ac:dyDescent="0.2">
      <c r="A42" s="440">
        <v>120</v>
      </c>
      <c r="B42" s="449"/>
      <c r="C42" s="442">
        <f t="shared" si="3"/>
        <v>0</v>
      </c>
      <c r="D42" s="442"/>
      <c r="E42" s="442">
        <f t="shared" si="0"/>
        <v>0</v>
      </c>
      <c r="F42" s="450">
        <f t="shared" si="4"/>
        <v>0</v>
      </c>
      <c r="G42" s="445">
        <f t="shared" si="1"/>
        <v>240</v>
      </c>
      <c r="H42" s="446">
        <f>'Transp. Camión con Acoplado'!A*(E42/60)</f>
        <v>0</v>
      </c>
      <c r="I42" s="446">
        <f>'Transp. Camión con Acoplado'!B*(E42/60)</f>
        <v>0</v>
      </c>
      <c r="J42" s="446">
        <f>'Transp. Camión con Acoplado'!C_*(C42/60)</f>
        <v>0</v>
      </c>
      <c r="K42" s="446">
        <f>'Transp. Camión con Acoplado'!D*(E42/60)</f>
        <v>0</v>
      </c>
      <c r="L42" s="446">
        <f>'Transp. Camión con Acoplado'!E*(E42/60)</f>
        <v>0</v>
      </c>
      <c r="M42" s="446">
        <f>'Transp. Camión con Acoplado'!F_*G42</f>
        <v>0</v>
      </c>
      <c r="N42" s="446">
        <f t="shared" si="2"/>
        <v>0</v>
      </c>
      <c r="O42" s="446">
        <f>+G42*'Transp. Camión con Acoplado'!G</f>
        <v>0</v>
      </c>
      <c r="P42" s="447">
        <f t="shared" si="5"/>
        <v>0</v>
      </c>
      <c r="R42" s="448"/>
    </row>
    <row r="43" spans="1:18" ht="15" customHeight="1" x14ac:dyDescent="0.2">
      <c r="A43" s="440">
        <v>130</v>
      </c>
      <c r="B43" s="449"/>
      <c r="C43" s="442">
        <f t="shared" si="3"/>
        <v>0</v>
      </c>
      <c r="D43" s="442"/>
      <c r="E43" s="442">
        <f t="shared" si="0"/>
        <v>0</v>
      </c>
      <c r="F43" s="450">
        <f t="shared" si="4"/>
        <v>0</v>
      </c>
      <c r="G43" s="445">
        <f t="shared" si="1"/>
        <v>260</v>
      </c>
      <c r="H43" s="446">
        <f>'Transp. Camión con Acoplado'!A*(E43/60)</f>
        <v>0</v>
      </c>
      <c r="I43" s="446">
        <f>'Transp. Camión con Acoplado'!B*(E43/60)</f>
        <v>0</v>
      </c>
      <c r="J43" s="446">
        <f>'Transp. Camión con Acoplado'!C_*(C43/60)</f>
        <v>0</v>
      </c>
      <c r="K43" s="446">
        <f>'Transp. Camión con Acoplado'!D*(E43/60)</f>
        <v>0</v>
      </c>
      <c r="L43" s="446">
        <f>'Transp. Camión con Acoplado'!E*(E43/60)</f>
        <v>0</v>
      </c>
      <c r="M43" s="446">
        <f>'Transp. Camión con Acoplado'!F_*G43</f>
        <v>0</v>
      </c>
      <c r="N43" s="446">
        <f t="shared" si="2"/>
        <v>0</v>
      </c>
      <c r="O43" s="446">
        <f>+G43*'Transp. Camión con Acoplado'!G</f>
        <v>0</v>
      </c>
      <c r="P43" s="447">
        <f t="shared" si="5"/>
        <v>0</v>
      </c>
      <c r="R43" s="448"/>
    </row>
    <row r="44" spans="1:18" ht="15" customHeight="1" x14ac:dyDescent="0.2">
      <c r="A44" s="440">
        <v>140</v>
      </c>
      <c r="B44" s="449"/>
      <c r="C44" s="442">
        <f t="shared" si="3"/>
        <v>0</v>
      </c>
      <c r="D44" s="442"/>
      <c r="E44" s="442">
        <f t="shared" si="0"/>
        <v>0</v>
      </c>
      <c r="F44" s="450">
        <f t="shared" si="4"/>
        <v>0</v>
      </c>
      <c r="G44" s="445">
        <f t="shared" si="1"/>
        <v>280</v>
      </c>
      <c r="H44" s="446">
        <f>'Transp. Camión con Acoplado'!A*(E44/60)</f>
        <v>0</v>
      </c>
      <c r="I44" s="446">
        <f>'Transp. Camión con Acoplado'!B*(E44/60)</f>
        <v>0</v>
      </c>
      <c r="J44" s="446">
        <f>'Transp. Camión con Acoplado'!C_*(C44/60)</f>
        <v>0</v>
      </c>
      <c r="K44" s="446">
        <f>'Transp. Camión con Acoplado'!D*(E44/60)</f>
        <v>0</v>
      </c>
      <c r="L44" s="446">
        <f>'Transp. Camión con Acoplado'!E*(E44/60)</f>
        <v>0</v>
      </c>
      <c r="M44" s="446">
        <f>'Transp. Camión con Acoplado'!F_*G44</f>
        <v>0</v>
      </c>
      <c r="N44" s="446">
        <f t="shared" si="2"/>
        <v>0</v>
      </c>
      <c r="O44" s="446">
        <f>+G44*'Transp. Camión con Acoplado'!G</f>
        <v>0</v>
      </c>
      <c r="P44" s="447">
        <f t="shared" si="5"/>
        <v>0</v>
      </c>
      <c r="R44" s="448"/>
    </row>
    <row r="45" spans="1:18" ht="15" customHeight="1" x14ac:dyDescent="0.2">
      <c r="A45" s="440">
        <v>150</v>
      </c>
      <c r="B45" s="449"/>
      <c r="C45" s="442">
        <f t="shared" si="3"/>
        <v>0</v>
      </c>
      <c r="D45" s="442"/>
      <c r="E45" s="442">
        <f t="shared" si="0"/>
        <v>0</v>
      </c>
      <c r="F45" s="450">
        <f t="shared" si="4"/>
        <v>0</v>
      </c>
      <c r="G45" s="445">
        <f t="shared" si="1"/>
        <v>300</v>
      </c>
      <c r="H45" s="446">
        <f>'Transp. Camión con Acoplado'!A*(E45/60)</f>
        <v>0</v>
      </c>
      <c r="I45" s="446">
        <f>'Transp. Camión con Acoplado'!B*(E45/60)</f>
        <v>0</v>
      </c>
      <c r="J45" s="446">
        <f>'Transp. Camión con Acoplado'!C_*(C45/60)</f>
        <v>0</v>
      </c>
      <c r="K45" s="446">
        <f>'Transp. Camión con Acoplado'!D*(E45/60)</f>
        <v>0</v>
      </c>
      <c r="L45" s="446">
        <f>'Transp. Camión con Acoplado'!E*(E45/60)</f>
        <v>0</v>
      </c>
      <c r="M45" s="446">
        <f>'Transp. Camión con Acoplado'!F_*G45</f>
        <v>0</v>
      </c>
      <c r="N45" s="446">
        <f t="shared" si="2"/>
        <v>0</v>
      </c>
      <c r="O45" s="446">
        <f>+G45*'Transp. Camión con Acoplado'!G</f>
        <v>0</v>
      </c>
      <c r="P45" s="447">
        <f t="shared" si="5"/>
        <v>0</v>
      </c>
      <c r="R45" s="448"/>
    </row>
    <row r="46" spans="1:18" ht="15" customHeight="1" x14ac:dyDescent="0.2">
      <c r="A46" s="440">
        <v>160</v>
      </c>
      <c r="B46" s="449"/>
      <c r="C46" s="442">
        <f t="shared" si="3"/>
        <v>0</v>
      </c>
      <c r="D46" s="442"/>
      <c r="E46" s="442">
        <f t="shared" si="0"/>
        <v>0</v>
      </c>
      <c r="F46" s="450">
        <f t="shared" si="4"/>
        <v>0</v>
      </c>
      <c r="G46" s="445">
        <f t="shared" si="1"/>
        <v>320</v>
      </c>
      <c r="H46" s="446">
        <f>'Transp. Camión con Acoplado'!A*(E46/60)</f>
        <v>0</v>
      </c>
      <c r="I46" s="446">
        <f>'Transp. Camión con Acoplado'!B*(E46/60)</f>
        <v>0</v>
      </c>
      <c r="J46" s="446">
        <f>'Transp. Camión con Acoplado'!C_*(C46/60)</f>
        <v>0</v>
      </c>
      <c r="K46" s="446">
        <f>'Transp. Camión con Acoplado'!D*(E46/60)</f>
        <v>0</v>
      </c>
      <c r="L46" s="446">
        <f>'Transp. Camión con Acoplado'!E*(E46/60)</f>
        <v>0</v>
      </c>
      <c r="M46" s="446">
        <f>'Transp. Camión con Acoplado'!F_*G46</f>
        <v>0</v>
      </c>
      <c r="N46" s="446">
        <f t="shared" si="2"/>
        <v>0</v>
      </c>
      <c r="O46" s="446">
        <f>+G46*'Transp. Camión con Acoplado'!G</f>
        <v>0</v>
      </c>
      <c r="P46" s="447">
        <f t="shared" si="5"/>
        <v>0</v>
      </c>
      <c r="R46" s="448"/>
    </row>
    <row r="47" spans="1:18" ht="15" customHeight="1" x14ac:dyDescent="0.2">
      <c r="A47" s="440">
        <v>170</v>
      </c>
      <c r="B47" s="449"/>
      <c r="C47" s="442">
        <f t="shared" si="3"/>
        <v>0</v>
      </c>
      <c r="D47" s="442"/>
      <c r="E47" s="442">
        <f t="shared" si="0"/>
        <v>0</v>
      </c>
      <c r="F47" s="450">
        <f t="shared" si="4"/>
        <v>0</v>
      </c>
      <c r="G47" s="445">
        <f t="shared" si="1"/>
        <v>340</v>
      </c>
      <c r="H47" s="446">
        <f>'Transp. Camión con Acoplado'!A*(E47/60)</f>
        <v>0</v>
      </c>
      <c r="I47" s="446">
        <f>'Transp. Camión con Acoplado'!B*(E47/60)</f>
        <v>0</v>
      </c>
      <c r="J47" s="446">
        <f>'Transp. Camión con Acoplado'!C_*(C47/60)</f>
        <v>0</v>
      </c>
      <c r="K47" s="446">
        <f>'Transp. Camión con Acoplado'!D*(E47/60)</f>
        <v>0</v>
      </c>
      <c r="L47" s="446">
        <f>'Transp. Camión con Acoplado'!E*(E47/60)</f>
        <v>0</v>
      </c>
      <c r="M47" s="446">
        <f>'Transp. Camión con Acoplado'!F_*G47</f>
        <v>0</v>
      </c>
      <c r="N47" s="446">
        <f t="shared" si="2"/>
        <v>0</v>
      </c>
      <c r="O47" s="446">
        <f>+G47*'Transp. Camión con Acoplado'!G</f>
        <v>0</v>
      </c>
      <c r="P47" s="447">
        <f t="shared" si="5"/>
        <v>0</v>
      </c>
      <c r="R47" s="448"/>
    </row>
    <row r="48" spans="1:18" ht="15" customHeight="1" x14ac:dyDescent="0.2">
      <c r="A48" s="440">
        <v>180</v>
      </c>
      <c r="B48" s="449"/>
      <c r="C48" s="442">
        <f t="shared" si="3"/>
        <v>0</v>
      </c>
      <c r="D48" s="442"/>
      <c r="E48" s="442">
        <f t="shared" si="0"/>
        <v>0</v>
      </c>
      <c r="F48" s="450">
        <f t="shared" si="4"/>
        <v>0</v>
      </c>
      <c r="G48" s="445">
        <f t="shared" si="1"/>
        <v>360</v>
      </c>
      <c r="H48" s="446">
        <f>'Transp. Camión con Acoplado'!A*(E48/60)</f>
        <v>0</v>
      </c>
      <c r="I48" s="446">
        <f>'Transp. Camión con Acoplado'!B*(E48/60)</f>
        <v>0</v>
      </c>
      <c r="J48" s="446">
        <f>'Transp. Camión con Acoplado'!C_*(C48/60)</f>
        <v>0</v>
      </c>
      <c r="K48" s="446">
        <f>'Transp. Camión con Acoplado'!D*(E48/60)</f>
        <v>0</v>
      </c>
      <c r="L48" s="446">
        <f>'Transp. Camión con Acoplado'!E*(E48/60)</f>
        <v>0</v>
      </c>
      <c r="M48" s="446">
        <f>'Transp. Camión con Acoplado'!F_*G48</f>
        <v>0</v>
      </c>
      <c r="N48" s="446">
        <f t="shared" si="2"/>
        <v>0</v>
      </c>
      <c r="O48" s="446">
        <f>+G48*'Transp. Camión con Acoplado'!G</f>
        <v>0</v>
      </c>
      <c r="P48" s="447">
        <f t="shared" si="5"/>
        <v>0</v>
      </c>
      <c r="R48" s="448"/>
    </row>
    <row r="49" spans="1:18" ht="15" customHeight="1" x14ac:dyDescent="0.2">
      <c r="A49" s="440">
        <v>200</v>
      </c>
      <c r="B49" s="449"/>
      <c r="C49" s="442">
        <f t="shared" si="3"/>
        <v>0</v>
      </c>
      <c r="D49" s="442"/>
      <c r="E49" s="442">
        <f t="shared" si="0"/>
        <v>0</v>
      </c>
      <c r="F49" s="450">
        <f t="shared" si="4"/>
        <v>0</v>
      </c>
      <c r="G49" s="445">
        <f t="shared" si="1"/>
        <v>400</v>
      </c>
      <c r="H49" s="446">
        <f>'Transp. Camión con Acoplado'!A*(E49/60)</f>
        <v>0</v>
      </c>
      <c r="I49" s="446">
        <f>'Transp. Camión con Acoplado'!B*(E49/60)</f>
        <v>0</v>
      </c>
      <c r="J49" s="446">
        <f>'Transp. Camión con Acoplado'!C_*(C49/60)</f>
        <v>0</v>
      </c>
      <c r="K49" s="446">
        <f>'Transp. Camión con Acoplado'!D*(E49/60)</f>
        <v>0</v>
      </c>
      <c r="L49" s="446">
        <f>'Transp. Camión con Acoplado'!E*(E49/60)</f>
        <v>0</v>
      </c>
      <c r="M49" s="446">
        <f>'Transp. Camión con Acoplado'!F_*G49</f>
        <v>0</v>
      </c>
      <c r="N49" s="446">
        <f t="shared" si="2"/>
        <v>0</v>
      </c>
      <c r="O49" s="446">
        <f>+G49*'Transp. Camión con Acoplado'!G</f>
        <v>0</v>
      </c>
      <c r="P49" s="447">
        <f t="shared" si="5"/>
        <v>0</v>
      </c>
      <c r="R49" s="448"/>
    </row>
    <row r="50" spans="1:18" ht="15" customHeight="1" x14ac:dyDescent="0.2">
      <c r="A50" s="440">
        <v>225</v>
      </c>
      <c r="B50" s="449"/>
      <c r="C50" s="442">
        <f t="shared" si="3"/>
        <v>0</v>
      </c>
      <c r="D50" s="442"/>
      <c r="E50" s="442">
        <f t="shared" si="0"/>
        <v>0</v>
      </c>
      <c r="F50" s="450">
        <f t="shared" si="4"/>
        <v>0</v>
      </c>
      <c r="G50" s="445">
        <f t="shared" si="1"/>
        <v>450</v>
      </c>
      <c r="H50" s="446">
        <f>'Transp. Camión con Acoplado'!A*(E50/60)</f>
        <v>0</v>
      </c>
      <c r="I50" s="446">
        <f>'Transp. Camión con Acoplado'!B*(E50/60)</f>
        <v>0</v>
      </c>
      <c r="J50" s="446">
        <f>'Transp. Camión con Acoplado'!C_*(C50/60)</f>
        <v>0</v>
      </c>
      <c r="K50" s="446">
        <f>'Transp. Camión con Acoplado'!D*(E50/60)</f>
        <v>0</v>
      </c>
      <c r="L50" s="446">
        <f>'Transp. Camión con Acoplado'!E*(E50/60)</f>
        <v>0</v>
      </c>
      <c r="M50" s="446">
        <f>'Transp. Camión con Acoplado'!F_*G50</f>
        <v>0</v>
      </c>
      <c r="N50" s="446">
        <f t="shared" si="2"/>
        <v>0</v>
      </c>
      <c r="O50" s="446">
        <f>+G50*'Transp. Camión con Acoplado'!G</f>
        <v>0</v>
      </c>
      <c r="P50" s="447">
        <f t="shared" si="5"/>
        <v>0</v>
      </c>
      <c r="R50" s="448"/>
    </row>
    <row r="51" spans="1:18" ht="15" customHeight="1" x14ac:dyDescent="0.2">
      <c r="A51" s="440">
        <v>250</v>
      </c>
      <c r="B51" s="449"/>
      <c r="C51" s="442">
        <f t="shared" si="3"/>
        <v>0</v>
      </c>
      <c r="D51" s="442"/>
      <c r="E51" s="442">
        <f t="shared" si="0"/>
        <v>0</v>
      </c>
      <c r="F51" s="450">
        <f t="shared" si="4"/>
        <v>0</v>
      </c>
      <c r="G51" s="445">
        <f t="shared" si="1"/>
        <v>500</v>
      </c>
      <c r="H51" s="446">
        <f>'Transp. Camión con Acoplado'!A*(E51/60)</f>
        <v>0</v>
      </c>
      <c r="I51" s="446">
        <f>'Transp. Camión con Acoplado'!B*(E51/60)</f>
        <v>0</v>
      </c>
      <c r="J51" s="446">
        <f>'Transp. Camión con Acoplado'!C_*(C51/60)</f>
        <v>0</v>
      </c>
      <c r="K51" s="446">
        <f>'Transp. Camión con Acoplado'!D*(E51/60)</f>
        <v>0</v>
      </c>
      <c r="L51" s="446">
        <f>'Transp. Camión con Acoplado'!E*(E51/60)</f>
        <v>0</v>
      </c>
      <c r="M51" s="446">
        <f>'Transp. Camión con Acoplado'!F_*G51</f>
        <v>0</v>
      </c>
      <c r="N51" s="446">
        <f t="shared" si="2"/>
        <v>0</v>
      </c>
      <c r="O51" s="446">
        <f>+G51*'Transp. Camión con Acoplado'!G</f>
        <v>0</v>
      </c>
      <c r="P51" s="447">
        <f t="shared" si="5"/>
        <v>0</v>
      </c>
      <c r="R51" s="448"/>
    </row>
    <row r="52" spans="1:18" ht="15" customHeight="1" x14ac:dyDescent="0.2">
      <c r="A52" s="440">
        <v>275</v>
      </c>
      <c r="B52" s="449"/>
      <c r="C52" s="442">
        <f t="shared" si="3"/>
        <v>0</v>
      </c>
      <c r="D52" s="442"/>
      <c r="E52" s="442">
        <f t="shared" si="0"/>
        <v>0</v>
      </c>
      <c r="F52" s="450">
        <f t="shared" si="4"/>
        <v>0</v>
      </c>
      <c r="G52" s="445">
        <f t="shared" si="1"/>
        <v>550</v>
      </c>
      <c r="H52" s="446">
        <f>'Transp. Camión con Acoplado'!A*(E52/60)</f>
        <v>0</v>
      </c>
      <c r="I52" s="446">
        <f>'Transp. Camión con Acoplado'!B*(E52/60)</f>
        <v>0</v>
      </c>
      <c r="J52" s="446">
        <f>'Transp. Camión con Acoplado'!C_*(C52/60)</f>
        <v>0</v>
      </c>
      <c r="K52" s="446">
        <f>'Transp. Camión con Acoplado'!D*(E52/60)</f>
        <v>0</v>
      </c>
      <c r="L52" s="446">
        <f>'Transp. Camión con Acoplado'!E*(E52/60)</f>
        <v>0</v>
      </c>
      <c r="M52" s="446">
        <f>'Transp. Camión con Acoplado'!F_*G52</f>
        <v>0</v>
      </c>
      <c r="N52" s="446">
        <f t="shared" si="2"/>
        <v>0</v>
      </c>
      <c r="O52" s="446">
        <f>+G52*'Transp. Camión con Acoplado'!G</f>
        <v>0</v>
      </c>
      <c r="P52" s="447">
        <f t="shared" si="5"/>
        <v>0</v>
      </c>
      <c r="R52" s="448"/>
    </row>
    <row r="53" spans="1:18" ht="15" customHeight="1" x14ac:dyDescent="0.2">
      <c r="A53" s="440">
        <v>300</v>
      </c>
      <c r="B53" s="449"/>
      <c r="C53" s="442">
        <f t="shared" si="3"/>
        <v>0</v>
      </c>
      <c r="D53" s="442"/>
      <c r="E53" s="442">
        <f t="shared" si="0"/>
        <v>0</v>
      </c>
      <c r="F53" s="450">
        <f t="shared" si="4"/>
        <v>0</v>
      </c>
      <c r="G53" s="445">
        <f t="shared" si="1"/>
        <v>600</v>
      </c>
      <c r="H53" s="446">
        <f>'Transp. Camión con Acoplado'!A*(E53/60)</f>
        <v>0</v>
      </c>
      <c r="I53" s="446">
        <f>'Transp. Camión con Acoplado'!B*(E53/60)</f>
        <v>0</v>
      </c>
      <c r="J53" s="446">
        <f>'Transp. Camión con Acoplado'!C_*(C53/60)</f>
        <v>0</v>
      </c>
      <c r="K53" s="446">
        <f>'Transp. Camión con Acoplado'!D*(E53/60)</f>
        <v>0</v>
      </c>
      <c r="L53" s="446">
        <f>'Transp. Camión con Acoplado'!E*(E53/60)</f>
        <v>0</v>
      </c>
      <c r="M53" s="446">
        <f>'Transp. Camión con Acoplado'!F_*G53</f>
        <v>0</v>
      </c>
      <c r="N53" s="446">
        <f t="shared" si="2"/>
        <v>0</v>
      </c>
      <c r="O53" s="446">
        <f>+G53*'Transp. Camión con Acoplado'!G</f>
        <v>0</v>
      </c>
      <c r="P53" s="447">
        <f t="shared" si="5"/>
        <v>0</v>
      </c>
      <c r="R53" s="448"/>
    </row>
    <row r="54" spans="1:18" ht="15" customHeight="1" x14ac:dyDescent="0.2">
      <c r="A54" s="440">
        <v>325</v>
      </c>
      <c r="B54" s="449"/>
      <c r="C54" s="442">
        <f t="shared" si="3"/>
        <v>0</v>
      </c>
      <c r="D54" s="442"/>
      <c r="E54" s="442">
        <f t="shared" si="0"/>
        <v>0</v>
      </c>
      <c r="F54" s="450">
        <f t="shared" si="4"/>
        <v>0</v>
      </c>
      <c r="G54" s="445">
        <f t="shared" si="1"/>
        <v>650</v>
      </c>
      <c r="H54" s="446">
        <f>'Transp. Camión con Acoplado'!A*(E54/60)</f>
        <v>0</v>
      </c>
      <c r="I54" s="446">
        <f>'Transp. Camión con Acoplado'!B*(E54/60)</f>
        <v>0</v>
      </c>
      <c r="J54" s="446">
        <f>'Transp. Camión con Acoplado'!C_*(C54/60)</f>
        <v>0</v>
      </c>
      <c r="K54" s="446">
        <f>'Transp. Camión con Acoplado'!D*(E54/60)</f>
        <v>0</v>
      </c>
      <c r="L54" s="446">
        <f>'Transp. Camión con Acoplado'!E*(E54/60)</f>
        <v>0</v>
      </c>
      <c r="M54" s="446">
        <f>'Transp. Camión con Acoplado'!F_*G54</f>
        <v>0</v>
      </c>
      <c r="N54" s="446">
        <f t="shared" si="2"/>
        <v>0</v>
      </c>
      <c r="O54" s="446">
        <f>+G54*'Transp. Camión con Acoplado'!G</f>
        <v>0</v>
      </c>
      <c r="P54" s="447">
        <f t="shared" si="5"/>
        <v>0</v>
      </c>
      <c r="R54" s="448"/>
    </row>
    <row r="55" spans="1:18" ht="15" customHeight="1" x14ac:dyDescent="0.2">
      <c r="A55" s="440">
        <v>350</v>
      </c>
      <c r="B55" s="449"/>
      <c r="C55" s="442">
        <f t="shared" si="3"/>
        <v>0</v>
      </c>
      <c r="D55" s="442"/>
      <c r="E55" s="442">
        <f t="shared" si="0"/>
        <v>0</v>
      </c>
      <c r="F55" s="450">
        <f t="shared" si="4"/>
        <v>0</v>
      </c>
      <c r="G55" s="445">
        <f t="shared" si="1"/>
        <v>700</v>
      </c>
      <c r="H55" s="446">
        <f>'Transp. Camión con Acoplado'!A*(E55/60)</f>
        <v>0</v>
      </c>
      <c r="I55" s="446">
        <f>'Transp. Camión con Acoplado'!B*(E55/60)</f>
        <v>0</v>
      </c>
      <c r="J55" s="446">
        <f>'Transp. Camión con Acoplado'!C_*(C55/60)</f>
        <v>0</v>
      </c>
      <c r="K55" s="446">
        <f>'Transp. Camión con Acoplado'!D*(E55/60)</f>
        <v>0</v>
      </c>
      <c r="L55" s="446">
        <f>'Transp. Camión con Acoplado'!E*(E55/60)</f>
        <v>0</v>
      </c>
      <c r="M55" s="446">
        <f>'Transp. Camión con Acoplado'!F_*G55</f>
        <v>0</v>
      </c>
      <c r="N55" s="446">
        <f t="shared" si="2"/>
        <v>0</v>
      </c>
      <c r="O55" s="446">
        <f>+G55*'Transp. Camión con Acoplado'!G</f>
        <v>0</v>
      </c>
      <c r="P55" s="447">
        <f t="shared" si="5"/>
        <v>0</v>
      </c>
      <c r="R55" s="448"/>
    </row>
    <row r="56" spans="1:18" ht="15" customHeight="1" x14ac:dyDescent="0.2">
      <c r="A56" s="440">
        <v>375</v>
      </c>
      <c r="B56" s="449"/>
      <c r="C56" s="442">
        <f t="shared" si="3"/>
        <v>0</v>
      </c>
      <c r="D56" s="442"/>
      <c r="E56" s="442">
        <f t="shared" si="0"/>
        <v>0</v>
      </c>
      <c r="F56" s="450">
        <f t="shared" si="4"/>
        <v>0</v>
      </c>
      <c r="G56" s="445">
        <f t="shared" si="1"/>
        <v>750</v>
      </c>
      <c r="H56" s="446">
        <f>'Transp. Camión con Acoplado'!A*(E56/60)</f>
        <v>0</v>
      </c>
      <c r="I56" s="446">
        <f>'Transp. Camión con Acoplado'!B*(E56/60)</f>
        <v>0</v>
      </c>
      <c r="J56" s="446">
        <f>'Transp. Camión con Acoplado'!C_*(C56/60)</f>
        <v>0</v>
      </c>
      <c r="K56" s="446">
        <f>'Transp. Camión con Acoplado'!D*(E56/60)</f>
        <v>0</v>
      </c>
      <c r="L56" s="446">
        <f>'Transp. Camión con Acoplado'!E*(E56/60)</f>
        <v>0</v>
      </c>
      <c r="M56" s="446">
        <f>'Transp. Camión con Acoplado'!F_*G56</f>
        <v>0</v>
      </c>
      <c r="N56" s="446">
        <f t="shared" si="2"/>
        <v>0</v>
      </c>
      <c r="O56" s="446">
        <f>+G56*'Transp. Camión con Acoplado'!G</f>
        <v>0</v>
      </c>
      <c r="P56" s="447">
        <f t="shared" si="5"/>
        <v>0</v>
      </c>
      <c r="R56" s="448"/>
    </row>
    <row r="57" spans="1:18" ht="15" customHeight="1" x14ac:dyDescent="0.2">
      <c r="A57" s="440">
        <v>400</v>
      </c>
      <c r="B57" s="449"/>
      <c r="C57" s="442">
        <f t="shared" si="3"/>
        <v>0</v>
      </c>
      <c r="D57" s="442"/>
      <c r="E57" s="442">
        <f t="shared" si="0"/>
        <v>0</v>
      </c>
      <c r="F57" s="450">
        <f t="shared" si="4"/>
        <v>0</v>
      </c>
      <c r="G57" s="445">
        <f t="shared" si="1"/>
        <v>800</v>
      </c>
      <c r="H57" s="446">
        <f>'Transp. Camión con Acoplado'!A*(E57/60)</f>
        <v>0</v>
      </c>
      <c r="I57" s="446">
        <f>'Transp. Camión con Acoplado'!B*(E57/60)</f>
        <v>0</v>
      </c>
      <c r="J57" s="446">
        <f>'Transp. Camión con Acoplado'!C_*(C57/60)</f>
        <v>0</v>
      </c>
      <c r="K57" s="446">
        <f>'Transp. Camión con Acoplado'!D*(E57/60)</f>
        <v>0</v>
      </c>
      <c r="L57" s="446">
        <f>'Transp. Camión con Acoplado'!E*(E57/60)</f>
        <v>0</v>
      </c>
      <c r="M57" s="446">
        <f>'Transp. Camión con Acoplado'!F_*G57</f>
        <v>0</v>
      </c>
      <c r="N57" s="446">
        <f t="shared" si="2"/>
        <v>0</v>
      </c>
      <c r="O57" s="446">
        <f>+G57*'Transp. Camión con Acoplado'!G</f>
        <v>0</v>
      </c>
      <c r="P57" s="447">
        <f t="shared" si="5"/>
        <v>0</v>
      </c>
      <c r="R57" s="448"/>
    </row>
    <row r="58" spans="1:18" ht="15" customHeight="1" x14ac:dyDescent="0.2">
      <c r="A58" s="440">
        <v>425</v>
      </c>
      <c r="B58" s="449"/>
      <c r="C58" s="442">
        <f t="shared" si="3"/>
        <v>0</v>
      </c>
      <c r="D58" s="442"/>
      <c r="E58" s="442">
        <f t="shared" si="0"/>
        <v>0</v>
      </c>
      <c r="F58" s="450">
        <f t="shared" si="4"/>
        <v>0</v>
      </c>
      <c r="G58" s="445">
        <f t="shared" si="1"/>
        <v>850</v>
      </c>
      <c r="H58" s="446">
        <f>'Transp. Camión con Acoplado'!A*(E58/60)</f>
        <v>0</v>
      </c>
      <c r="I58" s="446">
        <f>'Transp. Camión con Acoplado'!B*(E58/60)</f>
        <v>0</v>
      </c>
      <c r="J58" s="446">
        <f>'Transp. Camión con Acoplado'!C_*(C58/60)</f>
        <v>0</v>
      </c>
      <c r="K58" s="446">
        <f>'Transp. Camión con Acoplado'!D*(E58/60)</f>
        <v>0</v>
      </c>
      <c r="L58" s="446">
        <f>'Transp. Camión con Acoplado'!E*(E58/60)</f>
        <v>0</v>
      </c>
      <c r="M58" s="446">
        <f>'Transp. Camión con Acoplado'!F_*G58</f>
        <v>0</v>
      </c>
      <c r="N58" s="446">
        <f t="shared" si="2"/>
        <v>0</v>
      </c>
      <c r="O58" s="446">
        <f>+G58*'Transp. Camión con Acoplado'!G</f>
        <v>0</v>
      </c>
      <c r="P58" s="447">
        <f t="shared" si="5"/>
        <v>0</v>
      </c>
      <c r="R58" s="448"/>
    </row>
    <row r="59" spans="1:18" ht="15" customHeight="1" x14ac:dyDescent="0.2">
      <c r="A59" s="440">
        <v>450</v>
      </c>
      <c r="B59" s="449"/>
      <c r="C59" s="442">
        <f t="shared" si="3"/>
        <v>0</v>
      </c>
      <c r="D59" s="442"/>
      <c r="E59" s="442">
        <f t="shared" si="0"/>
        <v>0</v>
      </c>
      <c r="F59" s="450">
        <f t="shared" si="4"/>
        <v>0</v>
      </c>
      <c r="G59" s="445">
        <f t="shared" si="1"/>
        <v>900</v>
      </c>
      <c r="H59" s="446">
        <f>'Transp. Camión con Acoplado'!A*(E59/60)</f>
        <v>0</v>
      </c>
      <c r="I59" s="446">
        <f>'Transp. Camión con Acoplado'!B*(E59/60)</f>
        <v>0</v>
      </c>
      <c r="J59" s="446">
        <f>'Transp. Camión con Acoplado'!C_*(C59/60)</f>
        <v>0</v>
      </c>
      <c r="K59" s="446">
        <f>'Transp. Camión con Acoplado'!D*(E59/60)</f>
        <v>0</v>
      </c>
      <c r="L59" s="446">
        <f>'Transp. Camión con Acoplado'!E*(E59/60)</f>
        <v>0</v>
      </c>
      <c r="M59" s="446">
        <f>'Transp. Camión con Acoplado'!F_*G59</f>
        <v>0</v>
      </c>
      <c r="N59" s="446">
        <f t="shared" si="2"/>
        <v>0</v>
      </c>
      <c r="O59" s="446">
        <f>+G59*'Transp. Camión con Acoplado'!G</f>
        <v>0</v>
      </c>
      <c r="P59" s="447">
        <f t="shared" si="5"/>
        <v>0</v>
      </c>
      <c r="R59" s="448"/>
    </row>
    <row r="60" spans="1:18" ht="15" customHeight="1" x14ac:dyDescent="0.2">
      <c r="A60" s="440">
        <v>475</v>
      </c>
      <c r="B60" s="449"/>
      <c r="C60" s="442">
        <f t="shared" si="3"/>
        <v>0</v>
      </c>
      <c r="D60" s="442"/>
      <c r="E60" s="442">
        <f t="shared" si="0"/>
        <v>0</v>
      </c>
      <c r="F60" s="450">
        <f t="shared" si="4"/>
        <v>0</v>
      </c>
      <c r="G60" s="445">
        <f t="shared" si="1"/>
        <v>950</v>
      </c>
      <c r="H60" s="446">
        <f>'Transp. Camión con Acoplado'!A*(E60/60)</f>
        <v>0</v>
      </c>
      <c r="I60" s="446">
        <f>'Transp. Camión con Acoplado'!B*(E60/60)</f>
        <v>0</v>
      </c>
      <c r="J60" s="446">
        <f>'Transp. Camión con Acoplado'!C_*(C60/60)</f>
        <v>0</v>
      </c>
      <c r="K60" s="446">
        <f>'Transp. Camión con Acoplado'!D*(E60/60)</f>
        <v>0</v>
      </c>
      <c r="L60" s="446">
        <f>'Transp. Camión con Acoplado'!E*(E60/60)</f>
        <v>0</v>
      </c>
      <c r="M60" s="446">
        <f>'Transp. Camión con Acoplado'!F_*G60</f>
        <v>0</v>
      </c>
      <c r="N60" s="446">
        <f t="shared" si="2"/>
        <v>0</v>
      </c>
      <c r="O60" s="446">
        <f>+G60*'Transp. Camión con Acoplado'!G</f>
        <v>0</v>
      </c>
      <c r="P60" s="447">
        <f t="shared" si="5"/>
        <v>0</v>
      </c>
      <c r="R60" s="448"/>
    </row>
    <row r="61" spans="1:18" ht="15" customHeight="1" x14ac:dyDescent="0.2">
      <c r="A61" s="440">
        <v>500</v>
      </c>
      <c r="B61" s="449"/>
      <c r="C61" s="442">
        <f t="shared" si="3"/>
        <v>0</v>
      </c>
      <c r="D61" s="442"/>
      <c r="E61" s="442">
        <f t="shared" si="0"/>
        <v>0</v>
      </c>
      <c r="F61" s="450">
        <f t="shared" si="4"/>
        <v>0</v>
      </c>
      <c r="G61" s="445">
        <f t="shared" si="1"/>
        <v>1000</v>
      </c>
      <c r="H61" s="446">
        <f>'Transp. Camión con Acoplado'!A*(E61/60)</f>
        <v>0</v>
      </c>
      <c r="I61" s="446">
        <f>'Transp. Camión con Acoplado'!B*(E61/60)</f>
        <v>0</v>
      </c>
      <c r="J61" s="446">
        <f>'Transp. Camión con Acoplado'!C_*(C61/60)</f>
        <v>0</v>
      </c>
      <c r="K61" s="446">
        <f>'Transp. Camión con Acoplado'!D*(E61/60)</f>
        <v>0</v>
      </c>
      <c r="L61" s="446">
        <f>'Transp. Camión con Acoplado'!E*(E61/60)</f>
        <v>0</v>
      </c>
      <c r="M61" s="446">
        <f>'Transp. Camión con Acoplado'!F_*G61</f>
        <v>0</v>
      </c>
      <c r="N61" s="446">
        <f t="shared" si="2"/>
        <v>0</v>
      </c>
      <c r="O61" s="446">
        <f>+G61*'Transp. Camión con Acoplado'!G</f>
        <v>0</v>
      </c>
      <c r="P61" s="447">
        <f t="shared" si="5"/>
        <v>0</v>
      </c>
      <c r="R61" s="448"/>
    </row>
    <row r="62" spans="1:18" ht="15" customHeight="1" x14ac:dyDescent="0.2">
      <c r="A62" s="440">
        <v>600</v>
      </c>
      <c r="B62" s="449"/>
      <c r="C62" s="442">
        <f t="shared" si="3"/>
        <v>0</v>
      </c>
      <c r="D62" s="442"/>
      <c r="E62" s="442">
        <f t="shared" si="0"/>
        <v>0</v>
      </c>
      <c r="F62" s="450">
        <f t="shared" si="4"/>
        <v>0</v>
      </c>
      <c r="G62" s="445">
        <f t="shared" si="1"/>
        <v>1200</v>
      </c>
      <c r="H62" s="446">
        <f>'Transp. Camión con Acoplado'!A*(E62/60)</f>
        <v>0</v>
      </c>
      <c r="I62" s="446">
        <f>'Transp. Camión con Acoplado'!B*(E62/60)</f>
        <v>0</v>
      </c>
      <c r="J62" s="446">
        <f>'Transp. Camión con Acoplado'!C_*(C62/60)</f>
        <v>0</v>
      </c>
      <c r="K62" s="446">
        <f>'Transp. Camión con Acoplado'!D*(E62/60)</f>
        <v>0</v>
      </c>
      <c r="L62" s="446">
        <f>'Transp. Camión con Acoplado'!E*(E62/60)</f>
        <v>0</v>
      </c>
      <c r="M62" s="446">
        <f>'Transp. Camión con Acoplado'!F_*G62</f>
        <v>0</v>
      </c>
      <c r="N62" s="446">
        <f t="shared" si="2"/>
        <v>0</v>
      </c>
      <c r="O62" s="446">
        <f>+G62*'Transp. Camión con Acoplado'!G</f>
        <v>0</v>
      </c>
      <c r="P62" s="447">
        <f t="shared" si="5"/>
        <v>0</v>
      </c>
      <c r="R62" s="448"/>
    </row>
    <row r="63" spans="1:18" ht="15" customHeight="1" x14ac:dyDescent="0.2">
      <c r="A63" s="440">
        <v>800</v>
      </c>
      <c r="B63" s="449"/>
      <c r="C63" s="442">
        <f t="shared" si="3"/>
        <v>0</v>
      </c>
      <c r="D63" s="442"/>
      <c r="E63" s="442">
        <f t="shared" si="0"/>
        <v>0</v>
      </c>
      <c r="F63" s="450">
        <f t="shared" si="4"/>
        <v>0</v>
      </c>
      <c r="G63" s="445">
        <f t="shared" si="1"/>
        <v>1600</v>
      </c>
      <c r="H63" s="446">
        <f>'Transp. Camión con Acoplado'!A*(E63/60)</f>
        <v>0</v>
      </c>
      <c r="I63" s="446">
        <f>'Transp. Camión con Acoplado'!B*(E63/60)</f>
        <v>0</v>
      </c>
      <c r="J63" s="446">
        <f>'Transp. Camión con Acoplado'!C_*(C63/60)</f>
        <v>0</v>
      </c>
      <c r="K63" s="446">
        <f>'Transp. Camión con Acoplado'!D*(E63/60)</f>
        <v>0</v>
      </c>
      <c r="L63" s="446">
        <f>'Transp. Camión con Acoplado'!E*(E63/60)</f>
        <v>0</v>
      </c>
      <c r="M63" s="446">
        <f>'Transp. Camión con Acoplado'!F_*G63</f>
        <v>0</v>
      </c>
      <c r="N63" s="446">
        <f t="shared" si="2"/>
        <v>0</v>
      </c>
      <c r="O63" s="446">
        <f>+G63*'Transp. Camión con Acoplado'!G</f>
        <v>0</v>
      </c>
      <c r="P63" s="447">
        <f t="shared" si="5"/>
        <v>0</v>
      </c>
      <c r="R63" s="448"/>
    </row>
    <row r="64" spans="1:18" ht="15" customHeight="1" x14ac:dyDescent="0.2">
      <c r="A64" s="440">
        <v>1000</v>
      </c>
      <c r="B64" s="449"/>
      <c r="C64" s="442">
        <f t="shared" si="3"/>
        <v>0</v>
      </c>
      <c r="D64" s="442"/>
      <c r="E64" s="442">
        <f t="shared" si="0"/>
        <v>0</v>
      </c>
      <c r="F64" s="450">
        <f t="shared" si="4"/>
        <v>0</v>
      </c>
      <c r="G64" s="445">
        <f t="shared" si="1"/>
        <v>2000</v>
      </c>
      <c r="H64" s="446">
        <f>'Transp. Camión con Acoplado'!A*(E64/60)</f>
        <v>0</v>
      </c>
      <c r="I64" s="446">
        <f>'Transp. Camión con Acoplado'!B*(E64/60)</f>
        <v>0</v>
      </c>
      <c r="J64" s="446">
        <f>'Transp. Camión con Acoplado'!C_*(C64/60)</f>
        <v>0</v>
      </c>
      <c r="K64" s="446">
        <f>'Transp. Camión con Acoplado'!D*(E64/60)</f>
        <v>0</v>
      </c>
      <c r="L64" s="446">
        <f>'Transp. Camión con Acoplado'!E*(E64/60)</f>
        <v>0</v>
      </c>
      <c r="M64" s="446">
        <f>'Transp. Camión con Acoplado'!F_*G64</f>
        <v>0</v>
      </c>
      <c r="N64" s="446">
        <f t="shared" si="2"/>
        <v>0</v>
      </c>
      <c r="O64" s="446">
        <f>+G64*'Transp. Camión con Acoplado'!G</f>
        <v>0</v>
      </c>
      <c r="P64" s="447">
        <f t="shared" si="5"/>
        <v>0</v>
      </c>
      <c r="R64" s="451"/>
    </row>
    <row r="65" spans="13:16" ht="15" customHeight="1" x14ac:dyDescent="0.2">
      <c r="M65" s="864"/>
      <c r="N65" s="864"/>
      <c r="O65" s="864"/>
      <c r="P65" s="864"/>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00" customWidth="1"/>
    <col min="2" max="4" width="8.7109375" style="601" customWidth="1"/>
    <col min="5" max="5" width="57" style="600" customWidth="1"/>
    <col min="6" max="6" width="15.85546875" style="600" customWidth="1"/>
    <col min="7" max="7" width="16.5703125" style="600" customWidth="1"/>
  </cols>
  <sheetData>
    <row r="1" spans="1:7" x14ac:dyDescent="0.2">
      <c r="A1" s="598"/>
      <c r="B1" s="599" t="s">
        <v>542</v>
      </c>
      <c r="C1" s="599"/>
      <c r="D1" s="599"/>
      <c r="E1" s="598"/>
      <c r="F1" s="598"/>
      <c r="G1" s="598"/>
    </row>
    <row r="3" spans="1:7" x14ac:dyDescent="0.2">
      <c r="A3" s="603" t="s">
        <v>343</v>
      </c>
      <c r="B3" s="601" t="s">
        <v>42</v>
      </c>
      <c r="C3" s="603"/>
      <c r="D3" s="603"/>
      <c r="E3" s="865" t="s">
        <v>43</v>
      </c>
      <c r="F3" s="603"/>
      <c r="G3" s="603"/>
    </row>
    <row r="4" spans="1:7" x14ac:dyDescent="0.2">
      <c r="A4" s="602"/>
      <c r="B4" s="601" t="s">
        <v>44</v>
      </c>
      <c r="C4" s="603"/>
      <c r="D4" s="603"/>
      <c r="E4" s="865"/>
      <c r="F4" s="603"/>
      <c r="G4" s="603"/>
    </row>
    <row r="5" spans="1:7" x14ac:dyDescent="0.2">
      <c r="A5" s="599"/>
      <c r="B5" s="599"/>
      <c r="C5" s="599"/>
      <c r="D5" s="599"/>
      <c r="E5" s="599"/>
      <c r="F5" s="599"/>
      <c r="G5" s="599"/>
    </row>
    <row r="6" spans="1:7" x14ac:dyDescent="0.2">
      <c r="A6" s="601" t="str">
        <f t="shared" ref="A6:A69" si="0">CONCATENATE("INDEC-CM - ",B6,C6,D6)</f>
        <v>INDEC-CM - 37210-51</v>
      </c>
      <c r="B6" s="601">
        <v>37210</v>
      </c>
      <c r="C6" s="601" t="s">
        <v>45</v>
      </c>
      <c r="D6" s="601">
        <v>51</v>
      </c>
      <c r="E6" s="600" t="s">
        <v>46</v>
      </c>
    </row>
    <row r="7" spans="1:7" x14ac:dyDescent="0.2">
      <c r="A7" s="601" t="str">
        <f t="shared" si="0"/>
        <v>INDEC-CM - 37210-52</v>
      </c>
      <c r="B7" s="601">
        <v>37210</v>
      </c>
      <c r="C7" s="601" t="s">
        <v>45</v>
      </c>
      <c r="D7" s="601">
        <v>52</v>
      </c>
      <c r="E7" s="600" t="s">
        <v>47</v>
      </c>
    </row>
    <row r="8" spans="1:7" x14ac:dyDescent="0.2">
      <c r="A8" s="601" t="str">
        <f t="shared" si="0"/>
        <v>INDEC-CM - 42911-81</v>
      </c>
      <c r="B8" s="601">
        <v>42911</v>
      </c>
      <c r="C8" s="601" t="s">
        <v>45</v>
      </c>
      <c r="D8" s="601">
        <v>81</v>
      </c>
      <c r="E8" s="605" t="s">
        <v>48</v>
      </c>
      <c r="F8" s="605"/>
      <c r="G8" s="605"/>
    </row>
    <row r="9" spans="1:7" x14ac:dyDescent="0.2">
      <c r="A9" s="601" t="str">
        <f t="shared" si="0"/>
        <v>INDEC-CM - 41242-11</v>
      </c>
      <c r="B9" s="601">
        <v>41242</v>
      </c>
      <c r="C9" s="601" t="s">
        <v>45</v>
      </c>
      <c r="D9" s="601">
        <v>11</v>
      </c>
      <c r="E9" s="605" t="s">
        <v>49</v>
      </c>
      <c r="F9" s="605"/>
      <c r="G9" s="605"/>
    </row>
    <row r="10" spans="1:7" x14ac:dyDescent="0.2">
      <c r="A10" s="601" t="str">
        <f t="shared" si="0"/>
        <v>INDEC-CM - 37440-21</v>
      </c>
      <c r="B10" s="601">
        <v>37440</v>
      </c>
      <c r="C10" s="601" t="s">
        <v>45</v>
      </c>
      <c r="D10" s="601">
        <v>21</v>
      </c>
      <c r="E10" s="600" t="s">
        <v>50</v>
      </c>
    </row>
    <row r="11" spans="1:7" x14ac:dyDescent="0.2">
      <c r="A11" s="601" t="str">
        <f t="shared" si="0"/>
        <v>INDEC-CM - 38130-13</v>
      </c>
      <c r="B11" s="601">
        <v>38130</v>
      </c>
      <c r="C11" s="601" t="s">
        <v>45</v>
      </c>
      <c r="D11" s="601">
        <v>13</v>
      </c>
      <c r="E11" s="605" t="s">
        <v>51</v>
      </c>
      <c r="F11" s="605"/>
      <c r="G11" s="605"/>
    </row>
    <row r="12" spans="1:7" x14ac:dyDescent="0.2">
      <c r="A12" s="601" t="str">
        <f t="shared" si="0"/>
        <v>INDEC-CM - 38130-12</v>
      </c>
      <c r="B12" s="601">
        <v>38130</v>
      </c>
      <c r="C12" s="601" t="s">
        <v>45</v>
      </c>
      <c r="D12" s="601">
        <v>12</v>
      </c>
      <c r="E12" s="605" t="s">
        <v>52</v>
      </c>
      <c r="F12" s="605"/>
      <c r="G12" s="605"/>
    </row>
    <row r="13" spans="1:7" x14ac:dyDescent="0.2">
      <c r="A13" s="601" t="str">
        <f t="shared" si="0"/>
        <v>INDEC-CM - 38130-11</v>
      </c>
      <c r="B13" s="601">
        <v>38130</v>
      </c>
      <c r="C13" s="601" t="s">
        <v>45</v>
      </c>
      <c r="D13" s="601">
        <v>11</v>
      </c>
      <c r="E13" s="605" t="s">
        <v>53</v>
      </c>
      <c r="F13" s="605"/>
      <c r="G13" s="605"/>
    </row>
    <row r="14" spans="1:7" x14ac:dyDescent="0.2">
      <c r="A14" s="601" t="str">
        <f t="shared" si="0"/>
        <v>INDEC-CM - 27230-11</v>
      </c>
      <c r="B14" s="601">
        <v>27230</v>
      </c>
      <c r="C14" s="601" t="s">
        <v>45</v>
      </c>
      <c r="D14" s="601">
        <v>11</v>
      </c>
      <c r="E14" s="605" t="s">
        <v>54</v>
      </c>
      <c r="F14" s="605"/>
      <c r="G14" s="605"/>
    </row>
    <row r="15" spans="1:7" x14ac:dyDescent="0.2">
      <c r="A15" s="601" t="str">
        <f t="shared" si="0"/>
        <v>INDEC-CM - 44821-11</v>
      </c>
      <c r="B15" s="601">
        <v>44821</v>
      </c>
      <c r="C15" s="601" t="s">
        <v>45</v>
      </c>
      <c r="D15" s="601">
        <v>11</v>
      </c>
      <c r="E15" s="600" t="s">
        <v>55</v>
      </c>
    </row>
    <row r="16" spans="1:7" x14ac:dyDescent="0.2">
      <c r="A16" s="601" t="str">
        <f t="shared" si="0"/>
        <v>INDEC-CM - 37560-11</v>
      </c>
      <c r="B16" s="601">
        <v>37560</v>
      </c>
      <c r="C16" s="601" t="s">
        <v>45</v>
      </c>
      <c r="D16" s="601">
        <v>11</v>
      </c>
      <c r="E16" s="605" t="s">
        <v>56</v>
      </c>
      <c r="F16" s="605"/>
      <c r="G16" s="605"/>
    </row>
    <row r="17" spans="1:7" x14ac:dyDescent="0.2">
      <c r="A17" s="601" t="str">
        <f t="shared" si="0"/>
        <v>INDEC-CM - 15400-11</v>
      </c>
      <c r="B17" s="601">
        <v>15400</v>
      </c>
      <c r="C17" s="601" t="s">
        <v>45</v>
      </c>
      <c r="D17" s="601">
        <v>11</v>
      </c>
      <c r="E17" s="605" t="s">
        <v>57</v>
      </c>
      <c r="F17" s="605"/>
      <c r="G17" s="605"/>
    </row>
    <row r="18" spans="1:7" x14ac:dyDescent="0.2">
      <c r="A18" s="601" t="str">
        <f t="shared" si="0"/>
        <v>INDEC-CM - 15310-11</v>
      </c>
      <c r="B18" s="601">
        <v>15310</v>
      </c>
      <c r="C18" s="601" t="s">
        <v>45</v>
      </c>
      <c r="D18" s="601">
        <v>11</v>
      </c>
      <c r="E18" s="600" t="s">
        <v>58</v>
      </c>
    </row>
    <row r="19" spans="1:7" x14ac:dyDescent="0.2">
      <c r="A19" s="601" t="str">
        <f t="shared" si="0"/>
        <v>INDEC-CM - 46531-11</v>
      </c>
      <c r="B19" s="601">
        <v>46531</v>
      </c>
      <c r="C19" s="601" t="s">
        <v>45</v>
      </c>
      <c r="D19" s="601">
        <v>11</v>
      </c>
      <c r="E19" s="605" t="s">
        <v>59</v>
      </c>
      <c r="F19" s="605"/>
      <c r="G19" s="605"/>
    </row>
    <row r="20" spans="1:7" x14ac:dyDescent="0.2">
      <c r="A20" s="601" t="str">
        <f t="shared" si="0"/>
        <v>INDEC-CM - 43540-11</v>
      </c>
      <c r="B20" s="601">
        <v>43540</v>
      </c>
      <c r="C20" s="601" t="s">
        <v>45</v>
      </c>
      <c r="D20" s="601">
        <v>11</v>
      </c>
      <c r="E20" s="600" t="s">
        <v>60</v>
      </c>
    </row>
    <row r="21" spans="1:7" x14ac:dyDescent="0.2">
      <c r="A21" s="601" t="str">
        <f t="shared" si="0"/>
        <v>INDEC-CM - 43540-12</v>
      </c>
      <c r="B21" s="601">
        <v>43540</v>
      </c>
      <c r="C21" s="601" t="s">
        <v>45</v>
      </c>
      <c r="D21" s="601">
        <v>12</v>
      </c>
      <c r="E21" s="600" t="s">
        <v>61</v>
      </c>
    </row>
    <row r="22" spans="1:7" x14ac:dyDescent="0.2">
      <c r="A22" s="606" t="str">
        <f t="shared" si="0"/>
        <v>INDEC-CM - 37370-21</v>
      </c>
      <c r="B22" s="606">
        <v>37370</v>
      </c>
      <c r="C22" s="606" t="s">
        <v>45</v>
      </c>
      <c r="D22" s="606">
        <v>21</v>
      </c>
      <c r="E22" s="607" t="s">
        <v>62</v>
      </c>
      <c r="F22" s="600" t="s">
        <v>2038</v>
      </c>
    </row>
    <row r="23" spans="1:7" x14ac:dyDescent="0.2">
      <c r="A23" s="606" t="str">
        <f t="shared" si="0"/>
        <v>INDEC-CM - 37370-11</v>
      </c>
      <c r="B23" s="606">
        <v>37370</v>
      </c>
      <c r="C23" s="606" t="s">
        <v>45</v>
      </c>
      <c r="D23" s="606">
        <v>11</v>
      </c>
      <c r="E23" s="607" t="s">
        <v>63</v>
      </c>
      <c r="F23" s="600" t="s">
        <v>2038</v>
      </c>
    </row>
    <row r="24" spans="1:7" x14ac:dyDescent="0.2">
      <c r="A24" s="606" t="str">
        <f t="shared" si="0"/>
        <v>INDEC-CM - 37370-12</v>
      </c>
      <c r="B24" s="606">
        <v>37370</v>
      </c>
      <c r="C24" s="606" t="s">
        <v>45</v>
      </c>
      <c r="D24" s="606">
        <v>12</v>
      </c>
      <c r="E24" s="607" t="s">
        <v>64</v>
      </c>
      <c r="F24" s="600" t="s">
        <v>2038</v>
      </c>
    </row>
    <row r="25" spans="1:7" x14ac:dyDescent="0.2">
      <c r="A25" s="601" t="str">
        <f t="shared" si="0"/>
        <v>INDEC-CM - 37690-11</v>
      </c>
      <c r="B25" s="601">
        <v>37690</v>
      </c>
      <c r="C25" s="601" t="s">
        <v>45</v>
      </c>
      <c r="D25" s="601">
        <v>11</v>
      </c>
      <c r="E25" s="600" t="s">
        <v>65</v>
      </c>
    </row>
    <row r="26" spans="1:7" x14ac:dyDescent="0.2">
      <c r="A26" s="601" t="str">
        <f t="shared" si="0"/>
        <v>INDEC-CM - 42911-11</v>
      </c>
      <c r="B26" s="601">
        <v>42911</v>
      </c>
      <c r="C26" s="601" t="s">
        <v>45</v>
      </c>
      <c r="D26" s="601">
        <v>11</v>
      </c>
      <c r="E26" s="600" t="s">
        <v>66</v>
      </c>
    </row>
    <row r="27" spans="1:7" x14ac:dyDescent="0.2">
      <c r="A27" s="601" t="str">
        <f t="shared" si="0"/>
        <v>INDEC-CM - 37129-11</v>
      </c>
      <c r="B27" s="601">
        <v>37129</v>
      </c>
      <c r="C27" s="601" t="s">
        <v>45</v>
      </c>
      <c r="D27" s="601">
        <v>11</v>
      </c>
      <c r="E27" s="600" t="s">
        <v>67</v>
      </c>
    </row>
    <row r="28" spans="1:7" x14ac:dyDescent="0.2">
      <c r="A28" s="601" t="str">
        <f t="shared" si="0"/>
        <v>INDEC-CM - 35110-41</v>
      </c>
      <c r="B28" s="601">
        <v>35110</v>
      </c>
      <c r="C28" s="601" t="s">
        <v>45</v>
      </c>
      <c r="D28" s="601">
        <v>41</v>
      </c>
      <c r="E28" s="600" t="s">
        <v>68</v>
      </c>
    </row>
    <row r="29" spans="1:7" x14ac:dyDescent="0.2">
      <c r="A29" s="601" t="str">
        <f t="shared" si="0"/>
        <v>INDEC-CM - 37210-23</v>
      </c>
      <c r="B29" s="601">
        <v>37210</v>
      </c>
      <c r="C29" s="601" t="s">
        <v>45</v>
      </c>
      <c r="D29" s="601">
        <v>23</v>
      </c>
      <c r="E29" s="600" t="s">
        <v>69</v>
      </c>
    </row>
    <row r="30" spans="1:7" x14ac:dyDescent="0.2">
      <c r="A30" s="601" t="str">
        <f t="shared" si="0"/>
        <v>INDEC-CM - 37210-22</v>
      </c>
      <c r="B30" s="601">
        <v>37210</v>
      </c>
      <c r="C30" s="601" t="s">
        <v>45</v>
      </c>
      <c r="D30" s="601">
        <v>22</v>
      </c>
      <c r="E30" s="600" t="s">
        <v>70</v>
      </c>
    </row>
    <row r="31" spans="1:7" x14ac:dyDescent="0.2">
      <c r="A31" s="601" t="str">
        <f t="shared" si="0"/>
        <v>INDEC-CM - 37210-21</v>
      </c>
      <c r="B31" s="601">
        <v>37210</v>
      </c>
      <c r="C31" s="601" t="s">
        <v>45</v>
      </c>
      <c r="D31" s="601">
        <v>21</v>
      </c>
      <c r="E31" s="600" t="s">
        <v>71</v>
      </c>
    </row>
    <row r="32" spans="1:7" x14ac:dyDescent="0.2">
      <c r="A32" s="601" t="str">
        <f t="shared" si="0"/>
        <v>INDEC-CM - 41543-21</v>
      </c>
      <c r="B32" s="601">
        <v>41543</v>
      </c>
      <c r="C32" s="601" t="s">
        <v>45</v>
      </c>
      <c r="D32" s="601">
        <v>21</v>
      </c>
      <c r="E32" s="600" t="s">
        <v>72</v>
      </c>
    </row>
    <row r="33" spans="1:6" x14ac:dyDescent="0.2">
      <c r="A33" s="601" t="str">
        <f t="shared" si="0"/>
        <v>INDEC-CM - 46340-31</v>
      </c>
      <c r="B33" s="601">
        <v>46340</v>
      </c>
      <c r="C33" s="601" t="s">
        <v>45</v>
      </c>
      <c r="D33" s="601">
        <v>31</v>
      </c>
      <c r="E33" s="600" t="s">
        <v>73</v>
      </c>
    </row>
    <row r="34" spans="1:6" x14ac:dyDescent="0.2">
      <c r="A34" s="601" t="str">
        <f t="shared" si="0"/>
        <v>INDEC-CM - 46320-11</v>
      </c>
      <c r="B34" s="601">
        <v>46320</v>
      </c>
      <c r="C34" s="601" t="s">
        <v>45</v>
      </c>
      <c r="D34" s="601">
        <v>11</v>
      </c>
      <c r="E34" s="600" t="s">
        <v>74</v>
      </c>
    </row>
    <row r="35" spans="1:6" x14ac:dyDescent="0.2">
      <c r="A35" s="601" t="str">
        <f t="shared" si="0"/>
        <v>INDEC-CM - 46340-11</v>
      </c>
      <c r="B35" s="601">
        <v>46340</v>
      </c>
      <c r="C35" s="601" t="s">
        <v>45</v>
      </c>
      <c r="D35" s="601">
        <v>11</v>
      </c>
      <c r="E35" s="600" t="s">
        <v>75</v>
      </c>
    </row>
    <row r="36" spans="1:6" x14ac:dyDescent="0.2">
      <c r="A36" s="601" t="str">
        <f t="shared" si="0"/>
        <v>INDEC-CM - 46340-12</v>
      </c>
      <c r="B36" s="601">
        <v>46340</v>
      </c>
      <c r="C36" s="601" t="s">
        <v>45</v>
      </c>
      <c r="D36" s="601">
        <v>12</v>
      </c>
      <c r="E36" s="600" t="s">
        <v>76</v>
      </c>
    </row>
    <row r="37" spans="1:6" x14ac:dyDescent="0.2">
      <c r="A37" s="601" t="str">
        <f t="shared" si="0"/>
        <v>INDEC-CM - 46340-21</v>
      </c>
      <c r="B37" s="601">
        <v>46340</v>
      </c>
      <c r="C37" s="601" t="s">
        <v>45</v>
      </c>
      <c r="D37" s="601">
        <v>21</v>
      </c>
      <c r="E37" s="600" t="s">
        <v>77</v>
      </c>
    </row>
    <row r="38" spans="1:6" x14ac:dyDescent="0.2">
      <c r="A38" s="601" t="str">
        <f t="shared" si="0"/>
        <v>INDEC-CM - 46212-21</v>
      </c>
      <c r="B38" s="601">
        <v>46212</v>
      </c>
      <c r="C38" s="601" t="s">
        <v>45</v>
      </c>
      <c r="D38" s="601">
        <v>21</v>
      </c>
      <c r="E38" s="600" t="s">
        <v>78</v>
      </c>
    </row>
    <row r="39" spans="1:6" x14ac:dyDescent="0.2">
      <c r="A39" s="601" t="str">
        <f t="shared" si="0"/>
        <v>INDEC-CM - 42999-23</v>
      </c>
      <c r="B39" s="601">
        <v>42999</v>
      </c>
      <c r="C39" s="601" t="s">
        <v>45</v>
      </c>
      <c r="D39" s="601">
        <v>23</v>
      </c>
      <c r="E39" s="600" t="s">
        <v>79</v>
      </c>
    </row>
    <row r="40" spans="1:6" x14ac:dyDescent="0.2">
      <c r="A40" s="601" t="str">
        <f t="shared" si="0"/>
        <v>INDEC-CM - 42999-21</v>
      </c>
      <c r="B40" s="601">
        <v>42999</v>
      </c>
      <c r="C40" s="601" t="s">
        <v>45</v>
      </c>
      <c r="D40" s="601">
        <v>21</v>
      </c>
      <c r="E40" s="600" t="s">
        <v>80</v>
      </c>
    </row>
    <row r="41" spans="1:6" x14ac:dyDescent="0.2">
      <c r="A41" s="601" t="str">
        <f t="shared" si="0"/>
        <v>INDEC-CM - 42999-31</v>
      </c>
      <c r="B41" s="601">
        <v>42999</v>
      </c>
      <c r="C41" s="601" t="s">
        <v>45</v>
      </c>
      <c r="D41" s="601">
        <v>31</v>
      </c>
      <c r="E41" s="600" t="s">
        <v>81</v>
      </c>
    </row>
    <row r="42" spans="1:6" x14ac:dyDescent="0.2">
      <c r="A42" s="601" t="str">
        <f t="shared" si="0"/>
        <v>INDEC-CM - 42999-22</v>
      </c>
      <c r="B42" s="601">
        <v>42999</v>
      </c>
      <c r="C42" s="601" t="s">
        <v>45</v>
      </c>
      <c r="D42" s="601">
        <v>22</v>
      </c>
      <c r="E42" s="600" t="s">
        <v>82</v>
      </c>
    </row>
    <row r="43" spans="1:6" x14ac:dyDescent="0.2">
      <c r="A43" s="606" t="str">
        <f t="shared" si="0"/>
        <v>INDEC-CM - 31600-63</v>
      </c>
      <c r="B43" s="606">
        <v>31600</v>
      </c>
      <c r="C43" s="606" t="s">
        <v>45</v>
      </c>
      <c r="D43" s="606">
        <v>63</v>
      </c>
      <c r="E43" s="607" t="s">
        <v>83</v>
      </c>
      <c r="F43" s="600" t="s">
        <v>2038</v>
      </c>
    </row>
    <row r="44" spans="1:6" x14ac:dyDescent="0.2">
      <c r="A44" s="606" t="str">
        <f t="shared" si="0"/>
        <v>INDEC-CM - 31600-62</v>
      </c>
      <c r="B44" s="606">
        <v>31600</v>
      </c>
      <c r="C44" s="606" t="s">
        <v>45</v>
      </c>
      <c r="D44" s="606">
        <v>62</v>
      </c>
      <c r="E44" s="607" t="s">
        <v>84</v>
      </c>
      <c r="F44" s="600" t="s">
        <v>2038</v>
      </c>
    </row>
    <row r="45" spans="1:6" x14ac:dyDescent="0.2">
      <c r="A45" s="606" t="str">
        <f t="shared" si="0"/>
        <v>INDEC-CM - 31600-61</v>
      </c>
      <c r="B45" s="606">
        <v>31600</v>
      </c>
      <c r="C45" s="606" t="s">
        <v>45</v>
      </c>
      <c r="D45" s="606">
        <v>61</v>
      </c>
      <c r="E45" s="607" t="s">
        <v>85</v>
      </c>
      <c r="F45" s="600" t="s">
        <v>2038</v>
      </c>
    </row>
    <row r="46" spans="1:6" x14ac:dyDescent="0.2">
      <c r="A46" s="601" t="str">
        <f t="shared" si="0"/>
        <v>INDEC-CM - 37420-11</v>
      </c>
      <c r="B46" s="601">
        <v>37420</v>
      </c>
      <c r="C46" s="601" t="s">
        <v>45</v>
      </c>
      <c r="D46" s="601">
        <v>11</v>
      </c>
      <c r="E46" s="600" t="s">
        <v>86</v>
      </c>
    </row>
    <row r="47" spans="1:6" x14ac:dyDescent="0.2">
      <c r="A47" s="601" t="str">
        <f t="shared" si="0"/>
        <v>INDEC-CM - 37420-12</v>
      </c>
      <c r="B47" s="601">
        <v>37420</v>
      </c>
      <c r="C47" s="601" t="s">
        <v>45</v>
      </c>
      <c r="D47" s="601">
        <v>12</v>
      </c>
      <c r="E47" s="600" t="s">
        <v>87</v>
      </c>
    </row>
    <row r="48" spans="1:6" x14ac:dyDescent="0.2">
      <c r="A48" s="601" t="str">
        <f t="shared" si="0"/>
        <v>INDEC-CM - 44822-11</v>
      </c>
      <c r="B48" s="601">
        <v>44822</v>
      </c>
      <c r="C48" s="601" t="s">
        <v>45</v>
      </c>
      <c r="D48" s="601">
        <v>11</v>
      </c>
      <c r="E48" s="600" t="s">
        <v>88</v>
      </c>
    </row>
    <row r="49" spans="1:5" x14ac:dyDescent="0.2">
      <c r="A49" s="601" t="str">
        <f t="shared" si="0"/>
        <v>INDEC-CM - 44826-11</v>
      </c>
      <c r="B49" s="601">
        <v>44826</v>
      </c>
      <c r="C49" s="601" t="s">
        <v>45</v>
      </c>
      <c r="D49" s="601">
        <v>11</v>
      </c>
      <c r="E49" s="600" t="s">
        <v>89</v>
      </c>
    </row>
    <row r="50" spans="1:5" x14ac:dyDescent="0.2">
      <c r="A50" s="601" t="str">
        <f t="shared" si="0"/>
        <v>INDEC-CM - 44826-12</v>
      </c>
      <c r="B50" s="601">
        <v>44826</v>
      </c>
      <c r="C50" s="601" t="s">
        <v>45</v>
      </c>
      <c r="D50" s="601">
        <v>12</v>
      </c>
      <c r="E50" s="600" t="s">
        <v>90</v>
      </c>
    </row>
    <row r="51" spans="1:5" x14ac:dyDescent="0.2">
      <c r="A51" s="601" t="str">
        <f t="shared" si="0"/>
        <v>INDEC-CM - 42911-21</v>
      </c>
      <c r="B51" s="601">
        <v>42911</v>
      </c>
      <c r="C51" s="601" t="s">
        <v>45</v>
      </c>
      <c r="D51" s="601">
        <v>21</v>
      </c>
      <c r="E51" s="600" t="s">
        <v>91</v>
      </c>
    </row>
    <row r="52" spans="1:5" x14ac:dyDescent="0.2">
      <c r="A52" s="601" t="str">
        <f t="shared" si="0"/>
        <v>INDEC-CM - 41277-21</v>
      </c>
      <c r="B52" s="601">
        <v>41277</v>
      </c>
      <c r="C52" s="601" t="s">
        <v>45</v>
      </c>
      <c r="D52" s="601">
        <v>21</v>
      </c>
      <c r="E52" s="600" t="s">
        <v>92</v>
      </c>
    </row>
    <row r="53" spans="1:5" x14ac:dyDescent="0.2">
      <c r="A53" s="601" t="str">
        <f t="shared" si="0"/>
        <v>INDEC-CM - 41277-11</v>
      </c>
      <c r="B53" s="601">
        <v>41277</v>
      </c>
      <c r="C53" s="601" t="s">
        <v>45</v>
      </c>
      <c r="D53" s="601">
        <v>11</v>
      </c>
      <c r="E53" s="600" t="s">
        <v>93</v>
      </c>
    </row>
    <row r="54" spans="1:5" x14ac:dyDescent="0.2">
      <c r="A54" s="601" t="str">
        <f t="shared" si="0"/>
        <v>INDEC-CM - 41516-11</v>
      </c>
      <c r="B54" s="601">
        <v>41516</v>
      </c>
      <c r="C54" s="601" t="s">
        <v>45</v>
      </c>
      <c r="D54" s="601">
        <v>11</v>
      </c>
      <c r="E54" s="600" t="s">
        <v>94</v>
      </c>
    </row>
    <row r="55" spans="1:5" x14ac:dyDescent="0.2">
      <c r="A55" s="601" t="str">
        <f t="shared" si="0"/>
        <v>INDEC-CM - 41516-12</v>
      </c>
      <c r="B55" s="601">
        <v>41516</v>
      </c>
      <c r="C55" s="601" t="s">
        <v>45</v>
      </c>
      <c r="D55" s="601">
        <v>12</v>
      </c>
      <c r="E55" s="600" t="s">
        <v>95</v>
      </c>
    </row>
    <row r="56" spans="1:5" x14ac:dyDescent="0.2">
      <c r="A56" s="601" t="str">
        <f t="shared" si="0"/>
        <v>INDEC-CM - 41273-11</v>
      </c>
      <c r="B56" s="601">
        <v>41273</v>
      </c>
      <c r="C56" s="601" t="s">
        <v>45</v>
      </c>
      <c r="D56" s="601">
        <v>11</v>
      </c>
      <c r="E56" s="600" t="s">
        <v>96</v>
      </c>
    </row>
    <row r="57" spans="1:5" x14ac:dyDescent="0.2">
      <c r="A57" s="601" t="str">
        <f t="shared" si="0"/>
        <v>INDEC-CM - 41273-12</v>
      </c>
      <c r="B57" s="601">
        <v>41273</v>
      </c>
      <c r="C57" s="601" t="s">
        <v>45</v>
      </c>
      <c r="D57" s="601">
        <v>12</v>
      </c>
      <c r="E57" s="600" t="s">
        <v>97</v>
      </c>
    </row>
    <row r="58" spans="1:5" x14ac:dyDescent="0.2">
      <c r="A58" s="601" t="str">
        <f t="shared" si="0"/>
        <v>INDEC-CM - 41277-41</v>
      </c>
      <c r="B58" s="601">
        <v>41277</v>
      </c>
      <c r="C58" s="601" t="s">
        <v>45</v>
      </c>
      <c r="D58" s="601">
        <v>41</v>
      </c>
      <c r="E58" s="600" t="s">
        <v>98</v>
      </c>
    </row>
    <row r="59" spans="1:5" x14ac:dyDescent="0.2">
      <c r="A59" s="601" t="str">
        <f t="shared" si="0"/>
        <v>INDEC-CM - 41277-31</v>
      </c>
      <c r="B59" s="601">
        <v>41277</v>
      </c>
      <c r="C59" s="601" t="s">
        <v>45</v>
      </c>
      <c r="D59" s="601">
        <v>31</v>
      </c>
      <c r="E59" s="600" t="s">
        <v>99</v>
      </c>
    </row>
    <row r="60" spans="1:5" x14ac:dyDescent="0.2">
      <c r="A60" s="601" t="str">
        <f t="shared" si="0"/>
        <v>INDEC-CM - 41543-11</v>
      </c>
      <c r="B60" s="601">
        <v>41543</v>
      </c>
      <c r="C60" s="601" t="s">
        <v>45</v>
      </c>
      <c r="D60" s="601">
        <v>11</v>
      </c>
      <c r="E60" s="600" t="s">
        <v>100</v>
      </c>
    </row>
    <row r="61" spans="1:5" x14ac:dyDescent="0.2">
      <c r="A61" s="601" t="str">
        <f t="shared" si="0"/>
        <v>INDEC-CM - 36320-21</v>
      </c>
      <c r="B61" s="601">
        <v>36320</v>
      </c>
      <c r="C61" s="601" t="s">
        <v>45</v>
      </c>
      <c r="D61" s="601">
        <v>21</v>
      </c>
      <c r="E61" s="600" t="s">
        <v>101</v>
      </c>
    </row>
    <row r="62" spans="1:5" x14ac:dyDescent="0.2">
      <c r="A62" s="601" t="str">
        <f t="shared" si="0"/>
        <v>INDEC-CM - 36320-22</v>
      </c>
      <c r="B62" s="601">
        <v>36320</v>
      </c>
      <c r="C62" s="601" t="s">
        <v>45</v>
      </c>
      <c r="D62" s="601">
        <v>22</v>
      </c>
      <c r="E62" s="600" t="s">
        <v>102</v>
      </c>
    </row>
    <row r="63" spans="1:5" x14ac:dyDescent="0.2">
      <c r="A63" s="601" t="str">
        <f t="shared" si="0"/>
        <v>INDEC-CM - 36320-11</v>
      </c>
      <c r="B63" s="601">
        <v>36320</v>
      </c>
      <c r="C63" s="601" t="s">
        <v>45</v>
      </c>
      <c r="D63" s="601">
        <v>11</v>
      </c>
      <c r="E63" s="600" t="s">
        <v>103</v>
      </c>
    </row>
    <row r="64" spans="1:5" x14ac:dyDescent="0.2">
      <c r="A64" s="601" t="str">
        <f t="shared" si="0"/>
        <v>INDEC-CM - 36320-12</v>
      </c>
      <c r="B64" s="601">
        <v>36320</v>
      </c>
      <c r="C64" s="601" t="s">
        <v>45</v>
      </c>
      <c r="D64" s="601">
        <v>12</v>
      </c>
      <c r="E64" s="600" t="s">
        <v>104</v>
      </c>
    </row>
    <row r="65" spans="1:7" x14ac:dyDescent="0.2">
      <c r="A65" s="601" t="str">
        <f t="shared" si="0"/>
        <v>INDEC-CM - 15320-11</v>
      </c>
      <c r="B65" s="601">
        <v>15320</v>
      </c>
      <c r="C65" s="601" t="s">
        <v>45</v>
      </c>
      <c r="D65" s="601">
        <v>11</v>
      </c>
      <c r="E65" s="600" t="s">
        <v>105</v>
      </c>
    </row>
    <row r="66" spans="1:7" x14ac:dyDescent="0.2">
      <c r="A66" s="601" t="str">
        <f t="shared" si="0"/>
        <v>INDEC-CM - 37350-61</v>
      </c>
      <c r="B66" s="601">
        <v>37350</v>
      </c>
      <c r="C66" s="601" t="s">
        <v>45</v>
      </c>
      <c r="D66" s="601">
        <v>61</v>
      </c>
      <c r="E66" s="605" t="s">
        <v>106</v>
      </c>
      <c r="F66" s="605"/>
      <c r="G66" s="605"/>
    </row>
    <row r="67" spans="1:7" x14ac:dyDescent="0.2">
      <c r="A67" s="601" t="str">
        <f t="shared" si="0"/>
        <v>INDEC-CM - 37440-31</v>
      </c>
      <c r="B67" s="601">
        <v>37440</v>
      </c>
      <c r="C67" s="601" t="s">
        <v>45</v>
      </c>
      <c r="D67" s="601">
        <v>31</v>
      </c>
      <c r="E67" s="600" t="s">
        <v>107</v>
      </c>
    </row>
    <row r="68" spans="1:7" x14ac:dyDescent="0.2">
      <c r="A68" s="601" t="str">
        <f t="shared" si="0"/>
        <v>INDEC-CM - 37440-11</v>
      </c>
      <c r="B68" s="601">
        <v>37440</v>
      </c>
      <c r="C68" s="601" t="s">
        <v>45</v>
      </c>
      <c r="D68" s="601">
        <v>11</v>
      </c>
      <c r="E68" s="600" t="s">
        <v>108</v>
      </c>
    </row>
    <row r="69" spans="1:7" x14ac:dyDescent="0.2">
      <c r="A69" s="601" t="str">
        <f t="shared" si="0"/>
        <v>INDEC-CM - 44821-21</v>
      </c>
      <c r="B69" s="601">
        <v>44821</v>
      </c>
      <c r="C69" s="601" t="s">
        <v>45</v>
      </c>
      <c r="D69" s="601">
        <v>21</v>
      </c>
      <c r="E69" s="600" t="s">
        <v>109</v>
      </c>
    </row>
    <row r="70" spans="1:7" x14ac:dyDescent="0.2">
      <c r="A70" s="601" t="str">
        <f t="shared" ref="A70:A133" si="1">CONCATENATE("INDEC-CM - ",B70,C70,D70)</f>
        <v>INDEC-CM - 36320-31</v>
      </c>
      <c r="B70" s="601">
        <v>36320</v>
      </c>
      <c r="C70" s="601" t="s">
        <v>45</v>
      </c>
      <c r="D70" s="601">
        <v>31</v>
      </c>
      <c r="E70" s="600" t="s">
        <v>110</v>
      </c>
    </row>
    <row r="71" spans="1:7" x14ac:dyDescent="0.2">
      <c r="A71" s="601" t="str">
        <f t="shared" si="1"/>
        <v>INDEC-CM - 41278-12</v>
      </c>
      <c r="B71" s="601">
        <v>41278</v>
      </c>
      <c r="C71" s="601" t="s">
        <v>45</v>
      </c>
      <c r="D71" s="601">
        <v>12</v>
      </c>
      <c r="E71" s="605" t="s">
        <v>111</v>
      </c>
      <c r="F71" s="605"/>
      <c r="G71" s="605"/>
    </row>
    <row r="72" spans="1:7" x14ac:dyDescent="0.2">
      <c r="A72" s="601" t="str">
        <f t="shared" si="1"/>
        <v>INDEC-CM - 41278-11</v>
      </c>
      <c r="B72" s="601">
        <v>41278</v>
      </c>
      <c r="C72" s="601" t="s">
        <v>45</v>
      </c>
      <c r="D72" s="601">
        <v>11</v>
      </c>
      <c r="E72" s="605" t="s">
        <v>112</v>
      </c>
      <c r="F72" s="605"/>
      <c r="G72" s="605"/>
    </row>
    <row r="73" spans="1:7" x14ac:dyDescent="0.2">
      <c r="A73" s="601" t="str">
        <f t="shared" si="1"/>
        <v>INDEC-CM - 36320-41</v>
      </c>
      <c r="B73" s="601">
        <v>36320</v>
      </c>
      <c r="C73" s="601" t="s">
        <v>45</v>
      </c>
      <c r="D73" s="601">
        <v>41</v>
      </c>
      <c r="E73" s="600" t="s">
        <v>113</v>
      </c>
    </row>
    <row r="74" spans="1:7" x14ac:dyDescent="0.2">
      <c r="A74" s="601" t="str">
        <f t="shared" si="1"/>
        <v>INDEC-CM - 41516-21</v>
      </c>
      <c r="B74" s="601">
        <v>41516</v>
      </c>
      <c r="C74" s="601" t="s">
        <v>45</v>
      </c>
      <c r="D74" s="601">
        <v>21</v>
      </c>
      <c r="E74" s="600" t="s">
        <v>114</v>
      </c>
    </row>
    <row r="75" spans="1:7" x14ac:dyDescent="0.2">
      <c r="A75" s="606" t="str">
        <f t="shared" si="1"/>
        <v>INDEC-CM - 41278-22</v>
      </c>
      <c r="B75" s="606">
        <v>41278</v>
      </c>
      <c r="C75" s="606" t="s">
        <v>45</v>
      </c>
      <c r="D75" s="606">
        <v>22</v>
      </c>
      <c r="E75" s="608" t="s">
        <v>115</v>
      </c>
      <c r="F75" s="600" t="s">
        <v>2038</v>
      </c>
    </row>
    <row r="76" spans="1:7" x14ac:dyDescent="0.2">
      <c r="A76" s="601" t="str">
        <f t="shared" si="1"/>
        <v>INDEC-CM - 46350-11</v>
      </c>
      <c r="B76" s="601">
        <v>46350</v>
      </c>
      <c r="C76" s="601" t="s">
        <v>45</v>
      </c>
      <c r="D76" s="601">
        <v>11</v>
      </c>
      <c r="E76" s="600" t="s">
        <v>116</v>
      </c>
    </row>
    <row r="77" spans="1:7" x14ac:dyDescent="0.2">
      <c r="A77" s="601" t="str">
        <f t="shared" si="1"/>
        <v>INDEC-CM - 41278-41</v>
      </c>
      <c r="B77" s="601">
        <v>41278</v>
      </c>
      <c r="C77" s="601" t="s">
        <v>45</v>
      </c>
      <c r="D77" s="601">
        <v>41</v>
      </c>
      <c r="E77" s="605" t="s">
        <v>117</v>
      </c>
      <c r="F77" s="605"/>
      <c r="G77" s="605"/>
    </row>
    <row r="78" spans="1:7" x14ac:dyDescent="0.2">
      <c r="A78" s="601" t="str">
        <f t="shared" si="1"/>
        <v>INDEC-CM - 42999-11</v>
      </c>
      <c r="B78" s="601">
        <v>42999</v>
      </c>
      <c r="C78" s="601" t="s">
        <v>45</v>
      </c>
      <c r="D78" s="601">
        <v>11</v>
      </c>
      <c r="E78" s="600" t="s">
        <v>118</v>
      </c>
    </row>
    <row r="79" spans="1:7" x14ac:dyDescent="0.2">
      <c r="A79" s="601" t="str">
        <f t="shared" si="1"/>
        <v>INDEC-CM - 36320-51</v>
      </c>
      <c r="B79" s="601">
        <v>36320</v>
      </c>
      <c r="C79" s="601" t="s">
        <v>45</v>
      </c>
      <c r="D79" s="601">
        <v>51</v>
      </c>
      <c r="E79" s="600" t="s">
        <v>119</v>
      </c>
    </row>
    <row r="80" spans="1:7" x14ac:dyDescent="0.2">
      <c r="A80" s="601" t="str">
        <f t="shared" si="1"/>
        <v>INDEC-CM - 31600-12</v>
      </c>
      <c r="B80" s="601">
        <v>31600</v>
      </c>
      <c r="C80" s="601" t="s">
        <v>45</v>
      </c>
      <c r="D80" s="601">
        <v>12</v>
      </c>
      <c r="E80" s="600" t="s">
        <v>120</v>
      </c>
    </row>
    <row r="81" spans="1:7" x14ac:dyDescent="0.2">
      <c r="A81" s="601" t="str">
        <f t="shared" si="1"/>
        <v>INDEC-CM - 36950-11</v>
      </c>
      <c r="B81" s="601">
        <v>36950</v>
      </c>
      <c r="C81" s="601" t="s">
        <v>45</v>
      </c>
      <c r="D81" s="601">
        <v>11</v>
      </c>
      <c r="E81" s="600" t="s">
        <v>121</v>
      </c>
    </row>
    <row r="82" spans="1:7" x14ac:dyDescent="0.2">
      <c r="A82" s="601" t="str">
        <f t="shared" si="1"/>
        <v>INDEC-CM - 31600-11</v>
      </c>
      <c r="B82" s="601">
        <v>31600</v>
      </c>
      <c r="C82" s="601" t="s">
        <v>45</v>
      </c>
      <c r="D82" s="601">
        <v>11</v>
      </c>
      <c r="E82" s="600" t="s">
        <v>122</v>
      </c>
    </row>
    <row r="83" spans="1:7" x14ac:dyDescent="0.2">
      <c r="A83" s="601" t="str">
        <f t="shared" si="1"/>
        <v>INDEC-CM - 37112-11</v>
      </c>
      <c r="B83" s="601">
        <v>37112</v>
      </c>
      <c r="C83" s="601" t="s">
        <v>45</v>
      </c>
      <c r="D83" s="601">
        <v>11</v>
      </c>
      <c r="E83" s="600" t="s">
        <v>123</v>
      </c>
    </row>
    <row r="84" spans="1:7" x14ac:dyDescent="0.2">
      <c r="A84" s="601" t="str">
        <f t="shared" si="1"/>
        <v>INDEC-CM - 41278-31</v>
      </c>
      <c r="B84" s="601">
        <v>41278</v>
      </c>
      <c r="C84" s="601" t="s">
        <v>45</v>
      </c>
      <c r="D84" s="601">
        <v>31</v>
      </c>
      <c r="E84" s="605" t="s">
        <v>124</v>
      </c>
      <c r="F84" s="605"/>
      <c r="G84" s="605"/>
    </row>
    <row r="85" spans="1:7" x14ac:dyDescent="0.2">
      <c r="A85" s="601" t="str">
        <f t="shared" si="1"/>
        <v>INDEC-CM - 41278-13</v>
      </c>
      <c r="B85" s="601">
        <v>41278</v>
      </c>
      <c r="C85" s="601" t="s">
        <v>45</v>
      </c>
      <c r="D85" s="601">
        <v>13</v>
      </c>
      <c r="E85" s="605" t="s">
        <v>125</v>
      </c>
      <c r="F85" s="605"/>
      <c r="G85" s="605"/>
    </row>
    <row r="86" spans="1:7" x14ac:dyDescent="0.2">
      <c r="A86" s="601" t="str">
        <f t="shared" si="1"/>
        <v>INDEC-CM - 37570-11</v>
      </c>
      <c r="B86" s="601">
        <v>37570</v>
      </c>
      <c r="C86" s="601" t="s">
        <v>45</v>
      </c>
      <c r="D86" s="601">
        <v>11</v>
      </c>
      <c r="E86" s="605" t="s">
        <v>126</v>
      </c>
      <c r="F86" s="605"/>
      <c r="G86" s="605"/>
    </row>
    <row r="87" spans="1:7" x14ac:dyDescent="0.2">
      <c r="A87" s="601" t="str">
        <f t="shared" si="1"/>
        <v>INDEC-CM - 43220-11</v>
      </c>
      <c r="B87" s="601">
        <v>43220</v>
      </c>
      <c r="C87" s="601" t="s">
        <v>45</v>
      </c>
      <c r="D87" s="601">
        <v>11</v>
      </c>
      <c r="E87" s="600" t="s">
        <v>127</v>
      </c>
    </row>
    <row r="88" spans="1:7" x14ac:dyDescent="0.2">
      <c r="A88" s="601" t="str">
        <f t="shared" si="1"/>
        <v>INDEC-CM - 43220-12</v>
      </c>
      <c r="B88" s="601">
        <v>43220</v>
      </c>
      <c r="C88" s="601" t="s">
        <v>45</v>
      </c>
      <c r="D88" s="601">
        <v>12</v>
      </c>
      <c r="E88" s="600" t="s">
        <v>128</v>
      </c>
    </row>
    <row r="89" spans="1:7" x14ac:dyDescent="0.2">
      <c r="A89" s="601" t="str">
        <f t="shared" si="1"/>
        <v>INDEC-CM - 43220-21</v>
      </c>
      <c r="B89" s="601">
        <v>43220</v>
      </c>
      <c r="C89" s="601" t="s">
        <v>45</v>
      </c>
      <c r="D89" s="601">
        <v>21</v>
      </c>
      <c r="E89" s="600" t="s">
        <v>129</v>
      </c>
    </row>
    <row r="90" spans="1:7" x14ac:dyDescent="0.2">
      <c r="A90" s="601" t="str">
        <f t="shared" si="1"/>
        <v>INDEC-CM - 43220-22</v>
      </c>
      <c r="B90" s="601">
        <v>43220</v>
      </c>
      <c r="C90" s="601" t="s">
        <v>45</v>
      </c>
      <c r="D90" s="601">
        <v>22</v>
      </c>
      <c r="E90" s="600" t="s">
        <v>130</v>
      </c>
    </row>
    <row r="91" spans="1:7" x14ac:dyDescent="0.2">
      <c r="A91" s="601" t="str">
        <f t="shared" si="1"/>
        <v>INDEC-CM - 43220-23</v>
      </c>
      <c r="B91" s="601">
        <v>43220</v>
      </c>
      <c r="C91" s="601" t="s">
        <v>45</v>
      </c>
      <c r="D91" s="601">
        <v>23</v>
      </c>
      <c r="E91" s="600" t="s">
        <v>131</v>
      </c>
    </row>
    <row r="92" spans="1:7" x14ac:dyDescent="0.2">
      <c r="A92" s="601" t="str">
        <f t="shared" si="1"/>
        <v>INDEC-CM - 43220-31</v>
      </c>
      <c r="B92" s="601">
        <v>43220</v>
      </c>
      <c r="C92" s="601" t="s">
        <v>45</v>
      </c>
      <c r="D92" s="601">
        <v>31</v>
      </c>
      <c r="E92" s="600" t="s">
        <v>132</v>
      </c>
    </row>
    <row r="93" spans="1:7" x14ac:dyDescent="0.2">
      <c r="A93" s="601" t="str">
        <f t="shared" si="1"/>
        <v>INDEC-CM - 43220-32</v>
      </c>
      <c r="B93" s="601">
        <v>43220</v>
      </c>
      <c r="C93" s="601" t="s">
        <v>45</v>
      </c>
      <c r="D93" s="601">
        <v>32</v>
      </c>
      <c r="E93" s="600" t="s">
        <v>133</v>
      </c>
    </row>
    <row r="94" spans="1:7" x14ac:dyDescent="0.2">
      <c r="A94" s="601" t="str">
        <f t="shared" si="1"/>
        <v>INDEC-CM - 41278-32</v>
      </c>
      <c r="B94" s="601">
        <v>41278</v>
      </c>
      <c r="C94" s="601" t="s">
        <v>45</v>
      </c>
      <c r="D94" s="601">
        <v>32</v>
      </c>
      <c r="E94" s="605" t="s">
        <v>134</v>
      </c>
      <c r="F94" s="605"/>
      <c r="G94" s="605"/>
    </row>
    <row r="95" spans="1:7" x14ac:dyDescent="0.2">
      <c r="A95" s="601" t="str">
        <f t="shared" si="1"/>
        <v>INDEC-CM - 36320-32</v>
      </c>
      <c r="B95" s="601">
        <v>36320</v>
      </c>
      <c r="C95" s="601" t="s">
        <v>45</v>
      </c>
      <c r="D95" s="601">
        <v>32</v>
      </c>
      <c r="E95" s="600" t="s">
        <v>135</v>
      </c>
    </row>
    <row r="96" spans="1:7" x14ac:dyDescent="0.2">
      <c r="A96" s="606" t="str">
        <f t="shared" si="1"/>
        <v>INDEC-CM - 41278-23</v>
      </c>
      <c r="B96" s="606">
        <v>41278</v>
      </c>
      <c r="C96" s="606" t="s">
        <v>45</v>
      </c>
      <c r="D96" s="606">
        <v>23</v>
      </c>
      <c r="E96" s="608" t="s">
        <v>136</v>
      </c>
      <c r="F96" s="600" t="s">
        <v>2038</v>
      </c>
    </row>
    <row r="97" spans="1:6" x14ac:dyDescent="0.2">
      <c r="A97" s="601" t="str">
        <f t="shared" si="1"/>
        <v>INDEC-CM - 35110-11</v>
      </c>
      <c r="B97" s="601">
        <v>35110</v>
      </c>
      <c r="C97" s="601" t="s">
        <v>45</v>
      </c>
      <c r="D97" s="601">
        <v>11</v>
      </c>
      <c r="E97" s="600" t="s">
        <v>137</v>
      </c>
    </row>
    <row r="98" spans="1:6" x14ac:dyDescent="0.2">
      <c r="A98" s="601" t="str">
        <f t="shared" si="1"/>
        <v>INDEC-CM - 35110-12</v>
      </c>
      <c r="B98" s="601">
        <v>35110</v>
      </c>
      <c r="C98" s="601" t="s">
        <v>45</v>
      </c>
      <c r="D98" s="601">
        <v>12</v>
      </c>
      <c r="E98" s="600" t="s">
        <v>138</v>
      </c>
    </row>
    <row r="99" spans="1:6" x14ac:dyDescent="0.2">
      <c r="A99" s="601" t="str">
        <f t="shared" si="1"/>
        <v>INDEC-CM - 35110-21</v>
      </c>
      <c r="B99" s="601">
        <v>35110</v>
      </c>
      <c r="C99" s="601" t="s">
        <v>45</v>
      </c>
      <c r="D99" s="601">
        <v>21</v>
      </c>
      <c r="E99" s="600" t="s">
        <v>139</v>
      </c>
    </row>
    <row r="100" spans="1:6" x14ac:dyDescent="0.2">
      <c r="A100" s="601" t="str">
        <f t="shared" si="1"/>
        <v>INDEC-CM - 35110-22</v>
      </c>
      <c r="B100" s="601">
        <v>35110</v>
      </c>
      <c r="C100" s="601" t="s">
        <v>45</v>
      </c>
      <c r="D100" s="601">
        <v>22</v>
      </c>
      <c r="E100" s="600" t="s">
        <v>140</v>
      </c>
    </row>
    <row r="101" spans="1:6" x14ac:dyDescent="0.2">
      <c r="A101" s="601" t="str">
        <f t="shared" si="1"/>
        <v>INDEC-CM - 41547-11</v>
      </c>
      <c r="B101" s="601">
        <v>41547</v>
      </c>
      <c r="C101" s="601" t="s">
        <v>45</v>
      </c>
      <c r="D101" s="601">
        <v>11</v>
      </c>
      <c r="E101" s="600" t="s">
        <v>141</v>
      </c>
    </row>
    <row r="102" spans="1:6" x14ac:dyDescent="0.2">
      <c r="A102" s="606" t="str">
        <f t="shared" si="1"/>
        <v>INDEC-CM - 31600-73</v>
      </c>
      <c r="B102" s="606">
        <v>31600</v>
      </c>
      <c r="C102" s="606" t="s">
        <v>45</v>
      </c>
      <c r="D102" s="606">
        <v>73</v>
      </c>
      <c r="E102" s="607" t="s">
        <v>142</v>
      </c>
      <c r="F102" s="600" t="s">
        <v>2038</v>
      </c>
    </row>
    <row r="103" spans="1:6" x14ac:dyDescent="0.2">
      <c r="A103" s="606" t="str">
        <f t="shared" si="1"/>
        <v>INDEC-CM - 31600-72</v>
      </c>
      <c r="B103" s="606">
        <v>31600</v>
      </c>
      <c r="C103" s="606" t="s">
        <v>45</v>
      </c>
      <c r="D103" s="606">
        <v>72</v>
      </c>
      <c r="E103" s="607" t="s">
        <v>143</v>
      </c>
      <c r="F103" s="600" t="s">
        <v>2038</v>
      </c>
    </row>
    <row r="104" spans="1:6" x14ac:dyDescent="0.2">
      <c r="A104" s="606" t="str">
        <f t="shared" si="1"/>
        <v>INDEC-CM - 31600-71</v>
      </c>
      <c r="B104" s="606">
        <v>31600</v>
      </c>
      <c r="C104" s="606" t="s">
        <v>45</v>
      </c>
      <c r="D104" s="606">
        <v>71</v>
      </c>
      <c r="E104" s="607" t="s">
        <v>144</v>
      </c>
      <c r="F104" s="600" t="s">
        <v>2038</v>
      </c>
    </row>
    <row r="105" spans="1:6" x14ac:dyDescent="0.2">
      <c r="A105" s="601" t="str">
        <f t="shared" si="1"/>
        <v>INDEC-CM - 35110-61</v>
      </c>
      <c r="B105" s="601">
        <v>35110</v>
      </c>
      <c r="C105" s="601" t="s">
        <v>45</v>
      </c>
      <c r="D105" s="601">
        <v>61</v>
      </c>
      <c r="E105" s="600" t="s">
        <v>145</v>
      </c>
    </row>
    <row r="106" spans="1:6" x14ac:dyDescent="0.2">
      <c r="A106" s="601" t="str">
        <f t="shared" si="1"/>
        <v>INDEC-CM - 31600-53</v>
      </c>
      <c r="B106" s="601">
        <v>31600</v>
      </c>
      <c r="C106" s="601" t="s">
        <v>45</v>
      </c>
      <c r="D106" s="601">
        <v>53</v>
      </c>
      <c r="E106" s="600" t="s">
        <v>146</v>
      </c>
    </row>
    <row r="107" spans="1:6" x14ac:dyDescent="0.2">
      <c r="A107" s="601" t="str">
        <f t="shared" si="1"/>
        <v>INDEC-CM - 31600-51</v>
      </c>
      <c r="B107" s="601">
        <v>31600</v>
      </c>
      <c r="C107" s="601" t="s">
        <v>45</v>
      </c>
      <c r="D107" s="601">
        <v>51</v>
      </c>
      <c r="E107" s="600" t="s">
        <v>147</v>
      </c>
    </row>
    <row r="108" spans="1:6" x14ac:dyDescent="0.2">
      <c r="A108" s="601" t="str">
        <f t="shared" si="1"/>
        <v>INDEC-CM - 37550-21</v>
      </c>
      <c r="B108" s="601">
        <v>37550</v>
      </c>
      <c r="C108" s="601" t="s">
        <v>45</v>
      </c>
      <c r="D108" s="601">
        <v>21</v>
      </c>
      <c r="E108" s="600" t="s">
        <v>148</v>
      </c>
    </row>
    <row r="109" spans="1:6" x14ac:dyDescent="0.2">
      <c r="A109" s="601" t="str">
        <f t="shared" si="1"/>
        <v>INDEC-CM - 42999-41</v>
      </c>
      <c r="B109" s="601">
        <v>42999</v>
      </c>
      <c r="C109" s="601" t="s">
        <v>45</v>
      </c>
      <c r="D109" s="601">
        <v>41</v>
      </c>
      <c r="E109" s="600" t="s">
        <v>149</v>
      </c>
    </row>
    <row r="110" spans="1:6" x14ac:dyDescent="0.2">
      <c r="A110" s="601" t="str">
        <f t="shared" si="1"/>
        <v>INDEC-CM - 42911-53</v>
      </c>
      <c r="B110" s="601">
        <v>42911</v>
      </c>
      <c r="C110" s="601" t="s">
        <v>45</v>
      </c>
      <c r="D110" s="601">
        <v>53</v>
      </c>
      <c r="E110" s="600" t="s">
        <v>150</v>
      </c>
    </row>
    <row r="111" spans="1:6" x14ac:dyDescent="0.2">
      <c r="A111" s="601" t="str">
        <f t="shared" si="1"/>
        <v>INDEC-CM - 42911-52</v>
      </c>
      <c r="B111" s="601">
        <v>42911</v>
      </c>
      <c r="C111" s="601" t="s">
        <v>45</v>
      </c>
      <c r="D111" s="601">
        <v>52</v>
      </c>
      <c r="E111" s="600" t="s">
        <v>151</v>
      </c>
    </row>
    <row r="112" spans="1:6" x14ac:dyDescent="0.2">
      <c r="A112" s="601" t="str">
        <f t="shared" si="1"/>
        <v>INDEC-CM - 42911-51</v>
      </c>
      <c r="B112" s="601">
        <v>42911</v>
      </c>
      <c r="C112" s="601" t="s">
        <v>45</v>
      </c>
      <c r="D112" s="601">
        <v>51</v>
      </c>
      <c r="E112" s="600" t="s">
        <v>152</v>
      </c>
    </row>
    <row r="113" spans="1:7" x14ac:dyDescent="0.2">
      <c r="A113" s="601" t="str">
        <f t="shared" si="1"/>
        <v>INDEC-CM - 42911-43</v>
      </c>
      <c r="B113" s="601">
        <v>42911</v>
      </c>
      <c r="C113" s="601" t="s">
        <v>45</v>
      </c>
      <c r="D113" s="601">
        <v>43</v>
      </c>
      <c r="E113" s="600" t="s">
        <v>153</v>
      </c>
    </row>
    <row r="114" spans="1:7" x14ac:dyDescent="0.2">
      <c r="A114" s="601" t="str">
        <f t="shared" si="1"/>
        <v>INDEC-CM - 42911-42</v>
      </c>
      <c r="B114" s="601">
        <v>42911</v>
      </c>
      <c r="C114" s="601" t="s">
        <v>45</v>
      </c>
      <c r="D114" s="601">
        <v>42</v>
      </c>
      <c r="E114" s="600" t="s">
        <v>154</v>
      </c>
    </row>
    <row r="115" spans="1:7" x14ac:dyDescent="0.2">
      <c r="A115" s="601" t="str">
        <f t="shared" si="1"/>
        <v>INDEC-CM - 42911-41</v>
      </c>
      <c r="B115" s="601">
        <v>42911</v>
      </c>
      <c r="C115" s="601" t="s">
        <v>45</v>
      </c>
      <c r="D115" s="601">
        <v>41</v>
      </c>
      <c r="E115" s="600" t="s">
        <v>155</v>
      </c>
    </row>
    <row r="116" spans="1:7" x14ac:dyDescent="0.2">
      <c r="A116" s="601" t="str">
        <f t="shared" si="1"/>
        <v>INDEC-CM - 42911-56</v>
      </c>
      <c r="B116" s="601">
        <v>42911</v>
      </c>
      <c r="C116" s="601" t="s">
        <v>45</v>
      </c>
      <c r="D116" s="601">
        <v>56</v>
      </c>
      <c r="E116" s="600" t="s">
        <v>156</v>
      </c>
    </row>
    <row r="117" spans="1:7" x14ac:dyDescent="0.2">
      <c r="A117" s="601" t="str">
        <f t="shared" si="1"/>
        <v>INDEC-CM - 42911-55</v>
      </c>
      <c r="B117" s="601">
        <v>42911</v>
      </c>
      <c r="C117" s="601" t="s">
        <v>45</v>
      </c>
      <c r="D117" s="601">
        <v>55</v>
      </c>
      <c r="E117" s="600" t="s">
        <v>157</v>
      </c>
    </row>
    <row r="118" spans="1:7" x14ac:dyDescent="0.2">
      <c r="A118" s="601" t="str">
        <f t="shared" si="1"/>
        <v>INDEC-CM - 42911-54</v>
      </c>
      <c r="B118" s="601">
        <v>42911</v>
      </c>
      <c r="C118" s="601" t="s">
        <v>45</v>
      </c>
      <c r="D118" s="601">
        <v>54</v>
      </c>
      <c r="E118" s="600" t="s">
        <v>158</v>
      </c>
    </row>
    <row r="119" spans="1:7" x14ac:dyDescent="0.2">
      <c r="A119" s="601" t="str">
        <f t="shared" si="1"/>
        <v>INDEC-CM - 42911-32</v>
      </c>
      <c r="B119" s="601">
        <v>42911</v>
      </c>
      <c r="C119" s="601" t="s">
        <v>45</v>
      </c>
      <c r="D119" s="601">
        <v>32</v>
      </c>
      <c r="E119" s="600" t="s">
        <v>159</v>
      </c>
    </row>
    <row r="120" spans="1:7" x14ac:dyDescent="0.2">
      <c r="A120" s="601" t="str">
        <f t="shared" si="1"/>
        <v>INDEC-CM - 42911-31</v>
      </c>
      <c r="B120" s="601">
        <v>42911</v>
      </c>
      <c r="C120" s="601" t="s">
        <v>45</v>
      </c>
      <c r="D120" s="601">
        <v>31</v>
      </c>
      <c r="E120" s="600" t="s">
        <v>160</v>
      </c>
    </row>
    <row r="121" spans="1:7" x14ac:dyDescent="0.2">
      <c r="A121" s="601" t="str">
        <f t="shared" si="1"/>
        <v>INDEC-CM - 42911-59</v>
      </c>
      <c r="B121" s="601">
        <v>42911</v>
      </c>
      <c r="C121" s="601" t="s">
        <v>45</v>
      </c>
      <c r="D121" s="601">
        <v>59</v>
      </c>
      <c r="E121" s="600" t="s">
        <v>161</v>
      </c>
    </row>
    <row r="122" spans="1:7" x14ac:dyDescent="0.2">
      <c r="A122" s="601" t="str">
        <f t="shared" si="1"/>
        <v>INDEC-CM - 42911-58</v>
      </c>
      <c r="B122" s="601">
        <v>42911</v>
      </c>
      <c r="C122" s="601" t="s">
        <v>45</v>
      </c>
      <c r="D122" s="601">
        <v>58</v>
      </c>
      <c r="E122" s="605" t="s">
        <v>162</v>
      </c>
      <c r="F122" s="605"/>
      <c r="G122" s="605"/>
    </row>
    <row r="123" spans="1:7" x14ac:dyDescent="0.2">
      <c r="A123" s="601" t="str">
        <f t="shared" si="1"/>
        <v>INDEC-CM - 42911-57</v>
      </c>
      <c r="B123" s="601">
        <v>42911</v>
      </c>
      <c r="C123" s="601" t="s">
        <v>45</v>
      </c>
      <c r="D123" s="601">
        <v>57</v>
      </c>
      <c r="E123" s="605" t="s">
        <v>163</v>
      </c>
      <c r="F123" s="605"/>
      <c r="G123" s="605"/>
    </row>
    <row r="124" spans="1:7" x14ac:dyDescent="0.2">
      <c r="A124" s="601" t="str">
        <f t="shared" si="1"/>
        <v>INDEC-CM - 43923-21</v>
      </c>
      <c r="B124" s="601">
        <v>43923</v>
      </c>
      <c r="C124" s="601" t="s">
        <v>45</v>
      </c>
      <c r="D124" s="601">
        <v>21</v>
      </c>
      <c r="E124" s="605" t="s">
        <v>164</v>
      </c>
      <c r="F124" s="605"/>
      <c r="G124" s="605"/>
    </row>
    <row r="125" spans="1:7" x14ac:dyDescent="0.2">
      <c r="A125" s="601" t="str">
        <f t="shared" si="1"/>
        <v>INDEC-CM - 37510-11</v>
      </c>
      <c r="B125" s="601">
        <v>37510</v>
      </c>
      <c r="C125" s="601" t="s">
        <v>45</v>
      </c>
      <c r="D125" s="601">
        <v>11</v>
      </c>
      <c r="E125" s="600" t="s">
        <v>165</v>
      </c>
    </row>
    <row r="126" spans="1:7" x14ac:dyDescent="0.2">
      <c r="A126" s="601" t="str">
        <f t="shared" si="1"/>
        <v>INDEC-CM - 44821-31</v>
      </c>
      <c r="B126" s="601">
        <v>44821</v>
      </c>
      <c r="C126" s="601" t="s">
        <v>45</v>
      </c>
      <c r="D126" s="601">
        <v>31</v>
      </c>
      <c r="E126" s="600" t="s">
        <v>166</v>
      </c>
    </row>
    <row r="127" spans="1:7" x14ac:dyDescent="0.2">
      <c r="A127" s="601" t="str">
        <f t="shared" si="1"/>
        <v>INDEC-CM - 46531-12</v>
      </c>
      <c r="B127" s="601">
        <v>46531</v>
      </c>
      <c r="C127" s="601" t="s">
        <v>45</v>
      </c>
      <c r="D127" s="601">
        <v>12</v>
      </c>
      <c r="E127" s="605" t="s">
        <v>167</v>
      </c>
      <c r="F127" s="605"/>
      <c r="G127" s="605"/>
    </row>
    <row r="128" spans="1:7" x14ac:dyDescent="0.2">
      <c r="A128" s="601" t="str">
        <f t="shared" si="1"/>
        <v>INDEC-CM - 37210-13</v>
      </c>
      <c r="B128" s="601">
        <v>37210</v>
      </c>
      <c r="C128" s="601" t="s">
        <v>45</v>
      </c>
      <c r="D128" s="601">
        <v>13</v>
      </c>
      <c r="E128" s="600" t="s">
        <v>168</v>
      </c>
    </row>
    <row r="129" spans="1:7" x14ac:dyDescent="0.2">
      <c r="A129" s="601" t="str">
        <f t="shared" si="1"/>
        <v>INDEC-CM - 37210-12</v>
      </c>
      <c r="B129" s="601">
        <v>37210</v>
      </c>
      <c r="C129" s="601" t="s">
        <v>45</v>
      </c>
      <c r="D129" s="601">
        <v>12</v>
      </c>
      <c r="E129" s="600" t="s">
        <v>169</v>
      </c>
    </row>
    <row r="130" spans="1:7" x14ac:dyDescent="0.2">
      <c r="A130" s="601" t="str">
        <f t="shared" si="1"/>
        <v>INDEC-CM - 37210-11</v>
      </c>
      <c r="B130" s="601">
        <v>37210</v>
      </c>
      <c r="C130" s="601" t="s">
        <v>45</v>
      </c>
      <c r="D130" s="601">
        <v>11</v>
      </c>
      <c r="E130" s="605" t="s">
        <v>170</v>
      </c>
      <c r="F130" s="605"/>
      <c r="G130" s="605"/>
    </row>
    <row r="131" spans="1:7" x14ac:dyDescent="0.2">
      <c r="A131" s="601" t="str">
        <f t="shared" si="1"/>
        <v>INDEC-CM - 46212-11</v>
      </c>
      <c r="B131" s="601">
        <v>46212</v>
      </c>
      <c r="C131" s="601" t="s">
        <v>45</v>
      </c>
      <c r="D131" s="601">
        <v>11</v>
      </c>
      <c r="E131" s="600" t="s">
        <v>171</v>
      </c>
    </row>
    <row r="132" spans="1:7" x14ac:dyDescent="0.2">
      <c r="A132" s="601" t="str">
        <f t="shared" si="1"/>
        <v>INDEC-CM - 46212-51</v>
      </c>
      <c r="B132" s="601">
        <v>46212</v>
      </c>
      <c r="C132" s="601" t="s">
        <v>45</v>
      </c>
      <c r="D132" s="601">
        <v>51</v>
      </c>
      <c r="E132" s="600" t="s">
        <v>172</v>
      </c>
    </row>
    <row r="133" spans="1:7" x14ac:dyDescent="0.2">
      <c r="A133" s="601" t="str">
        <f t="shared" si="1"/>
        <v>INDEC-CM - 46212-31</v>
      </c>
      <c r="B133" s="601">
        <v>46212</v>
      </c>
      <c r="C133" s="601" t="s">
        <v>45</v>
      </c>
      <c r="D133" s="601">
        <v>31</v>
      </c>
      <c r="E133" s="600" t="s">
        <v>173</v>
      </c>
    </row>
    <row r="134" spans="1:7" x14ac:dyDescent="0.2">
      <c r="A134" s="601" t="str">
        <f t="shared" ref="A134:A197" si="2">CONCATENATE("INDEC-CM - ",B134,C134,D134)</f>
        <v>INDEC-CM - 46212-41</v>
      </c>
      <c r="B134" s="601">
        <v>46212</v>
      </c>
      <c r="C134" s="601" t="s">
        <v>45</v>
      </c>
      <c r="D134" s="601">
        <v>41</v>
      </c>
      <c r="E134" s="600" t="s">
        <v>174</v>
      </c>
    </row>
    <row r="135" spans="1:7" x14ac:dyDescent="0.2">
      <c r="A135" s="601" t="str">
        <f t="shared" si="2"/>
        <v>INDEC-CM - 42999-51</v>
      </c>
      <c r="B135" s="601">
        <v>42999</v>
      </c>
      <c r="C135" s="601" t="s">
        <v>45</v>
      </c>
      <c r="D135" s="601">
        <v>51</v>
      </c>
      <c r="E135" s="600" t="s">
        <v>175</v>
      </c>
    </row>
    <row r="136" spans="1:7" x14ac:dyDescent="0.2">
      <c r="A136" s="601" t="str">
        <f t="shared" si="2"/>
        <v>INDEC-CM - 35110-51</v>
      </c>
      <c r="B136" s="601">
        <v>35110</v>
      </c>
      <c r="C136" s="601" t="s">
        <v>45</v>
      </c>
      <c r="D136" s="601">
        <v>51</v>
      </c>
      <c r="E136" s="600" t="s">
        <v>176</v>
      </c>
    </row>
    <row r="137" spans="1:7" x14ac:dyDescent="0.2">
      <c r="A137" s="601" t="str">
        <f t="shared" si="2"/>
        <v>INDEC-CM - 37350-11</v>
      </c>
      <c r="B137" s="601">
        <v>37350</v>
      </c>
      <c r="C137" s="601" t="s">
        <v>45</v>
      </c>
      <c r="D137" s="601">
        <v>11</v>
      </c>
      <c r="E137" s="600" t="s">
        <v>177</v>
      </c>
    </row>
    <row r="138" spans="1:7" x14ac:dyDescent="0.2">
      <c r="A138" s="601" t="str">
        <f t="shared" si="2"/>
        <v>INDEC-CM - 37350-41</v>
      </c>
      <c r="B138" s="601">
        <v>37350</v>
      </c>
      <c r="C138" s="601" t="s">
        <v>45</v>
      </c>
      <c r="D138" s="601">
        <v>41</v>
      </c>
      <c r="E138" s="600" t="s">
        <v>178</v>
      </c>
    </row>
    <row r="139" spans="1:7" x14ac:dyDescent="0.2">
      <c r="A139" s="601" t="str">
        <f t="shared" si="2"/>
        <v>INDEC-CM - 37350-21</v>
      </c>
      <c r="B139" s="601">
        <v>37350</v>
      </c>
      <c r="C139" s="601" t="s">
        <v>45</v>
      </c>
      <c r="D139" s="601">
        <v>21</v>
      </c>
      <c r="E139" s="600" t="s">
        <v>179</v>
      </c>
    </row>
    <row r="140" spans="1:7" x14ac:dyDescent="0.2">
      <c r="A140" s="601" t="str">
        <f t="shared" si="2"/>
        <v>INDEC-CM - 37350-31</v>
      </c>
      <c r="B140" s="601">
        <v>37350</v>
      </c>
      <c r="C140" s="601" t="s">
        <v>45</v>
      </c>
      <c r="D140" s="601">
        <v>31</v>
      </c>
      <c r="E140" s="600" t="s">
        <v>180</v>
      </c>
    </row>
    <row r="141" spans="1:7" x14ac:dyDescent="0.2">
      <c r="A141" s="601" t="str">
        <f t="shared" si="2"/>
        <v>INDEC-CM - 37210-32</v>
      </c>
      <c r="B141" s="601">
        <v>37210</v>
      </c>
      <c r="C141" s="601" t="s">
        <v>45</v>
      </c>
      <c r="D141" s="601">
        <v>32</v>
      </c>
      <c r="E141" s="600" t="s">
        <v>181</v>
      </c>
    </row>
    <row r="142" spans="1:7" x14ac:dyDescent="0.2">
      <c r="A142" s="601" t="str">
        <f t="shared" si="2"/>
        <v>INDEC-CM - 37210-31</v>
      </c>
      <c r="B142" s="601">
        <v>37210</v>
      </c>
      <c r="C142" s="601" t="s">
        <v>45</v>
      </c>
      <c r="D142" s="601">
        <v>31</v>
      </c>
      <c r="E142" s="600" t="s">
        <v>182</v>
      </c>
    </row>
    <row r="143" spans="1:7" x14ac:dyDescent="0.2">
      <c r="A143" s="601" t="str">
        <f t="shared" si="2"/>
        <v>INDEC-CM - 37210-33</v>
      </c>
      <c r="B143" s="601">
        <v>37210</v>
      </c>
      <c r="C143" s="601" t="s">
        <v>45</v>
      </c>
      <c r="D143" s="601">
        <v>33</v>
      </c>
      <c r="E143" s="600" t="s">
        <v>183</v>
      </c>
    </row>
    <row r="144" spans="1:7" x14ac:dyDescent="0.2">
      <c r="A144" s="601" t="str">
        <f t="shared" si="2"/>
        <v>INDEC-CM - 31210-41</v>
      </c>
      <c r="B144" s="601">
        <v>31210</v>
      </c>
      <c r="C144" s="601" t="s">
        <v>45</v>
      </c>
      <c r="D144" s="601">
        <v>41</v>
      </c>
      <c r="E144" s="600" t="s">
        <v>184</v>
      </c>
    </row>
    <row r="145" spans="1:7" x14ac:dyDescent="0.2">
      <c r="A145" s="601" t="str">
        <f t="shared" si="2"/>
        <v>INDEC-CM - 43240-21</v>
      </c>
      <c r="B145" s="601">
        <v>43240</v>
      </c>
      <c r="C145" s="601" t="s">
        <v>45</v>
      </c>
      <c r="D145" s="601">
        <v>21</v>
      </c>
      <c r="E145" s="600" t="s">
        <v>185</v>
      </c>
    </row>
    <row r="146" spans="1:7" x14ac:dyDescent="0.2">
      <c r="A146" s="601" t="str">
        <f t="shared" si="2"/>
        <v>INDEC-CM - 43240-32</v>
      </c>
      <c r="B146" s="601">
        <v>43240</v>
      </c>
      <c r="C146" s="601" t="s">
        <v>45</v>
      </c>
      <c r="D146" s="601">
        <v>32</v>
      </c>
      <c r="E146" s="600" t="s">
        <v>186</v>
      </c>
    </row>
    <row r="147" spans="1:7" x14ac:dyDescent="0.2">
      <c r="A147" s="601" t="str">
        <f t="shared" si="2"/>
        <v>INDEC-CM - 43240-31</v>
      </c>
      <c r="B147" s="601">
        <v>43240</v>
      </c>
      <c r="C147" s="601" t="s">
        <v>45</v>
      </c>
      <c r="D147" s="601">
        <v>31</v>
      </c>
      <c r="E147" s="600" t="s">
        <v>187</v>
      </c>
    </row>
    <row r="148" spans="1:7" x14ac:dyDescent="0.2">
      <c r="A148" s="601" t="str">
        <f t="shared" si="2"/>
        <v>INDEC-CM - 43240-41</v>
      </c>
      <c r="B148" s="601">
        <v>43240</v>
      </c>
      <c r="C148" s="601" t="s">
        <v>45</v>
      </c>
      <c r="D148" s="601">
        <v>41</v>
      </c>
      <c r="E148" s="600" t="s">
        <v>188</v>
      </c>
    </row>
    <row r="149" spans="1:7" x14ac:dyDescent="0.2">
      <c r="A149" s="601" t="str">
        <f t="shared" si="2"/>
        <v>INDEC-CM - 37540-32</v>
      </c>
      <c r="B149" s="601">
        <v>37540</v>
      </c>
      <c r="C149" s="601" t="s">
        <v>45</v>
      </c>
      <c r="D149" s="601">
        <v>32</v>
      </c>
      <c r="E149" s="605" t="s">
        <v>189</v>
      </c>
      <c r="F149" s="605"/>
      <c r="G149" s="605"/>
    </row>
    <row r="150" spans="1:7" x14ac:dyDescent="0.2">
      <c r="A150" s="601" t="str">
        <f t="shared" si="2"/>
        <v>INDEC-CM - 37540-31</v>
      </c>
      <c r="B150" s="601">
        <v>37540</v>
      </c>
      <c r="C150" s="601" t="s">
        <v>45</v>
      </c>
      <c r="D150" s="601">
        <v>31</v>
      </c>
      <c r="E150" s="600" t="s">
        <v>190</v>
      </c>
    </row>
    <row r="151" spans="1:7" x14ac:dyDescent="0.2">
      <c r="A151" s="601" t="str">
        <f t="shared" si="2"/>
        <v>INDEC-CM - 31210-21</v>
      </c>
      <c r="B151" s="601">
        <v>31210</v>
      </c>
      <c r="C151" s="601" t="s">
        <v>45</v>
      </c>
      <c r="D151" s="601">
        <v>21</v>
      </c>
      <c r="E151" s="605" t="s">
        <v>191</v>
      </c>
      <c r="F151" s="605"/>
      <c r="G151" s="605"/>
    </row>
    <row r="152" spans="1:7" x14ac:dyDescent="0.2">
      <c r="A152" s="601" t="str">
        <f t="shared" si="2"/>
        <v>INDEC-CM - 42911-61</v>
      </c>
      <c r="B152" s="601">
        <v>42911</v>
      </c>
      <c r="C152" s="601" t="s">
        <v>45</v>
      </c>
      <c r="D152" s="601">
        <v>61</v>
      </c>
      <c r="E152" s="605" t="s">
        <v>192</v>
      </c>
      <c r="F152" s="605"/>
      <c r="G152" s="605"/>
    </row>
    <row r="153" spans="1:7" x14ac:dyDescent="0.2">
      <c r="A153" s="601" t="str">
        <f t="shared" si="2"/>
        <v>INDEC-CM - 43923-11</v>
      </c>
      <c r="B153" s="601">
        <v>43923</v>
      </c>
      <c r="C153" s="601" t="s">
        <v>45</v>
      </c>
      <c r="D153" s="601">
        <v>11</v>
      </c>
      <c r="E153" s="605" t="s">
        <v>193</v>
      </c>
      <c r="F153" s="605"/>
      <c r="G153" s="605"/>
    </row>
    <row r="154" spans="1:7" x14ac:dyDescent="0.2">
      <c r="A154" s="601" t="str">
        <f t="shared" si="2"/>
        <v>INDEC-CM - 37930-12</v>
      </c>
      <c r="B154" s="601">
        <v>37930</v>
      </c>
      <c r="C154" s="601" t="s">
        <v>45</v>
      </c>
      <c r="D154" s="601">
        <v>12</v>
      </c>
      <c r="E154" s="600" t="s">
        <v>194</v>
      </c>
    </row>
    <row r="155" spans="1:7" x14ac:dyDescent="0.2">
      <c r="A155" s="601" t="str">
        <f t="shared" si="2"/>
        <v>INDEC-CM - 37930-11</v>
      </c>
      <c r="B155" s="601">
        <v>37930</v>
      </c>
      <c r="C155" s="601" t="s">
        <v>45</v>
      </c>
      <c r="D155" s="601">
        <v>11</v>
      </c>
      <c r="E155" s="600" t="s">
        <v>195</v>
      </c>
    </row>
    <row r="156" spans="1:7" x14ac:dyDescent="0.2">
      <c r="A156" s="601" t="str">
        <f t="shared" si="2"/>
        <v>INDEC-CM - 42999-61</v>
      </c>
      <c r="B156" s="601">
        <v>42999</v>
      </c>
      <c r="C156" s="601" t="s">
        <v>45</v>
      </c>
      <c r="D156" s="601">
        <v>61</v>
      </c>
      <c r="E156" s="605" t="s">
        <v>196</v>
      </c>
      <c r="F156" s="605"/>
      <c r="G156" s="605"/>
    </row>
    <row r="157" spans="1:7" x14ac:dyDescent="0.2">
      <c r="A157" s="601" t="str">
        <f t="shared" si="2"/>
        <v>INDEC-CM - 42999-62</v>
      </c>
      <c r="B157" s="601">
        <v>42999</v>
      </c>
      <c r="C157" s="601" t="s">
        <v>45</v>
      </c>
      <c r="D157" s="601">
        <v>62</v>
      </c>
      <c r="E157" s="605" t="s">
        <v>197</v>
      </c>
      <c r="F157" s="605"/>
      <c r="G157" s="605"/>
    </row>
    <row r="158" spans="1:7" x14ac:dyDescent="0.2">
      <c r="A158" s="601" t="str">
        <f t="shared" si="2"/>
        <v>INDEC-CM - 37610-11</v>
      </c>
      <c r="B158" s="601">
        <v>37610</v>
      </c>
      <c r="C158" s="601" t="s">
        <v>45</v>
      </c>
      <c r="D158" s="601">
        <v>11</v>
      </c>
      <c r="E158" s="605" t="s">
        <v>198</v>
      </c>
      <c r="F158" s="605"/>
      <c r="G158" s="605"/>
    </row>
    <row r="159" spans="1:7" x14ac:dyDescent="0.2">
      <c r="A159" s="601" t="str">
        <f t="shared" si="2"/>
        <v>INDEC-CM - 37610-12</v>
      </c>
      <c r="B159" s="601">
        <v>37610</v>
      </c>
      <c r="C159" s="601" t="s">
        <v>45</v>
      </c>
      <c r="D159" s="601">
        <v>12</v>
      </c>
      <c r="E159" s="605" t="s">
        <v>199</v>
      </c>
      <c r="F159" s="605"/>
      <c r="G159" s="605"/>
    </row>
    <row r="160" spans="1:7" x14ac:dyDescent="0.2">
      <c r="A160" s="601" t="str">
        <f t="shared" si="2"/>
        <v>INDEC-CM - 42943-11</v>
      </c>
      <c r="B160" s="601">
        <v>42943</v>
      </c>
      <c r="C160" s="601" t="s">
        <v>45</v>
      </c>
      <c r="D160" s="601">
        <v>11</v>
      </c>
      <c r="E160" s="605" t="s">
        <v>200</v>
      </c>
      <c r="F160" s="605"/>
      <c r="G160" s="605"/>
    </row>
    <row r="161" spans="1:7" x14ac:dyDescent="0.2">
      <c r="A161" s="601" t="str">
        <f t="shared" si="2"/>
        <v>INDEC-CM - 37540-11</v>
      </c>
      <c r="B161" s="601">
        <v>37540</v>
      </c>
      <c r="C161" s="601" t="s">
        <v>45</v>
      </c>
      <c r="D161" s="601">
        <v>11</v>
      </c>
      <c r="E161" s="600" t="s">
        <v>201</v>
      </c>
    </row>
    <row r="162" spans="1:7" x14ac:dyDescent="0.2">
      <c r="A162" s="601" t="str">
        <f t="shared" si="2"/>
        <v>INDEC-CM - 38130-16</v>
      </c>
      <c r="B162" s="601">
        <v>38130</v>
      </c>
      <c r="C162" s="601" t="s">
        <v>45</v>
      </c>
      <c r="D162" s="601">
        <v>16</v>
      </c>
      <c r="E162" s="605" t="s">
        <v>202</v>
      </c>
      <c r="F162" s="605"/>
      <c r="G162" s="605"/>
    </row>
    <row r="163" spans="1:7" x14ac:dyDescent="0.2">
      <c r="A163" s="601" t="str">
        <f t="shared" si="2"/>
        <v>INDEC-CM - 38130-15</v>
      </c>
      <c r="B163" s="601">
        <v>38130</v>
      </c>
      <c r="C163" s="601" t="s">
        <v>45</v>
      </c>
      <c r="D163" s="601">
        <v>15</v>
      </c>
      <c r="E163" s="605" t="s">
        <v>203</v>
      </c>
      <c r="F163" s="605"/>
      <c r="G163" s="605"/>
    </row>
    <row r="164" spans="1:7" x14ac:dyDescent="0.2">
      <c r="A164" s="601" t="str">
        <f t="shared" si="2"/>
        <v>INDEC-CM - 38130-14</v>
      </c>
      <c r="B164" s="601">
        <v>38130</v>
      </c>
      <c r="C164" s="601" t="s">
        <v>45</v>
      </c>
      <c r="D164" s="601">
        <v>14</v>
      </c>
      <c r="E164" s="605" t="s">
        <v>204</v>
      </c>
      <c r="F164" s="605"/>
      <c r="G164" s="605"/>
    </row>
    <row r="165" spans="1:7" x14ac:dyDescent="0.2">
      <c r="A165" s="601" t="str">
        <f t="shared" si="2"/>
        <v>INDEC-CM - 35490-11</v>
      </c>
      <c r="B165" s="601">
        <v>35490</v>
      </c>
      <c r="C165" s="601" t="s">
        <v>45</v>
      </c>
      <c r="D165" s="601">
        <v>11</v>
      </c>
      <c r="E165" s="600" t="s">
        <v>205</v>
      </c>
    </row>
    <row r="166" spans="1:7" x14ac:dyDescent="0.2">
      <c r="A166" s="601" t="str">
        <f t="shared" si="2"/>
        <v>INDEC-CM - 41251-11</v>
      </c>
      <c r="B166" s="601">
        <v>41251</v>
      </c>
      <c r="C166" s="601" t="s">
        <v>45</v>
      </c>
      <c r="D166" s="601">
        <v>11</v>
      </c>
      <c r="E166" s="605" t="s">
        <v>206</v>
      </c>
      <c r="F166" s="605"/>
      <c r="G166" s="605"/>
    </row>
    <row r="167" spans="1:7" x14ac:dyDescent="0.2">
      <c r="A167" s="606" t="str">
        <f t="shared" si="2"/>
        <v>INDEC-CM - 41278-21</v>
      </c>
      <c r="B167" s="606">
        <v>41278</v>
      </c>
      <c r="C167" s="606" t="s">
        <v>45</v>
      </c>
      <c r="D167" s="606">
        <v>21</v>
      </c>
      <c r="E167" s="608" t="s">
        <v>207</v>
      </c>
      <c r="F167" s="600" t="s">
        <v>2038</v>
      </c>
    </row>
    <row r="168" spans="1:7" x14ac:dyDescent="0.2">
      <c r="A168" s="601" t="str">
        <f t="shared" si="2"/>
        <v>INDEC-CM - 42911-71</v>
      </c>
      <c r="B168" s="601">
        <v>42911</v>
      </c>
      <c r="C168" s="601" t="s">
        <v>45</v>
      </c>
      <c r="D168" s="601">
        <v>71</v>
      </c>
      <c r="E168" s="605" t="s">
        <v>208</v>
      </c>
      <c r="F168" s="605"/>
      <c r="G168" s="605"/>
    </row>
    <row r="169" spans="1:7" x14ac:dyDescent="0.2">
      <c r="A169" s="601" t="str">
        <f t="shared" si="2"/>
        <v>INDEC-CM - 37210-42</v>
      </c>
      <c r="B169" s="601">
        <v>37210</v>
      </c>
      <c r="C169" s="601" t="s">
        <v>45</v>
      </c>
      <c r="D169" s="601">
        <v>42</v>
      </c>
      <c r="E169" s="605" t="s">
        <v>209</v>
      </c>
      <c r="F169" s="605"/>
      <c r="G169" s="605"/>
    </row>
    <row r="170" spans="1:7" x14ac:dyDescent="0.2">
      <c r="A170" s="601" t="str">
        <f t="shared" si="2"/>
        <v>INDEC-CM - 37210-41</v>
      </c>
      <c r="B170" s="601">
        <v>37210</v>
      </c>
      <c r="C170" s="601" t="s">
        <v>45</v>
      </c>
      <c r="D170" s="601">
        <v>41</v>
      </c>
      <c r="E170" s="605" t="s">
        <v>210</v>
      </c>
      <c r="F170" s="605"/>
      <c r="G170" s="605"/>
    </row>
    <row r="171" spans="1:7" x14ac:dyDescent="0.2">
      <c r="A171" s="601" t="str">
        <f t="shared" si="2"/>
        <v>INDEC-CM - 36930-11</v>
      </c>
      <c r="B171" s="601">
        <v>36930</v>
      </c>
      <c r="C171" s="601" t="s">
        <v>45</v>
      </c>
      <c r="D171" s="601">
        <v>11</v>
      </c>
      <c r="E171" s="600" t="s">
        <v>211</v>
      </c>
    </row>
    <row r="172" spans="1:7" x14ac:dyDescent="0.2">
      <c r="A172" s="601" t="str">
        <f t="shared" si="2"/>
        <v>INDEC-CM - 36950-21</v>
      </c>
      <c r="B172" s="601">
        <v>36950</v>
      </c>
      <c r="C172" s="601" t="s">
        <v>45</v>
      </c>
      <c r="D172" s="601">
        <v>21</v>
      </c>
      <c r="E172" s="600" t="s">
        <v>212</v>
      </c>
    </row>
    <row r="173" spans="1:7" x14ac:dyDescent="0.2">
      <c r="A173" s="601" t="str">
        <f t="shared" si="2"/>
        <v>INDEC-CM - 35110-31</v>
      </c>
      <c r="B173" s="601">
        <v>35110</v>
      </c>
      <c r="C173" s="601" t="s">
        <v>45</v>
      </c>
      <c r="D173" s="601">
        <v>31</v>
      </c>
      <c r="E173" s="600" t="s">
        <v>213</v>
      </c>
    </row>
    <row r="174" spans="1:7" x14ac:dyDescent="0.2">
      <c r="A174" s="601" t="str">
        <f t="shared" si="2"/>
        <v>INDEC-CM - 35110-32</v>
      </c>
      <c r="B174" s="601">
        <v>35110</v>
      </c>
      <c r="C174" s="601" t="s">
        <v>45</v>
      </c>
      <c r="D174" s="601">
        <v>32</v>
      </c>
      <c r="E174" s="600" t="s">
        <v>214</v>
      </c>
    </row>
    <row r="175" spans="1:7" x14ac:dyDescent="0.2">
      <c r="A175" s="601" t="str">
        <f t="shared" si="2"/>
        <v>INDEC-CM - 37940-11</v>
      </c>
      <c r="B175" s="601">
        <v>37940</v>
      </c>
      <c r="C175" s="601" t="s">
        <v>45</v>
      </c>
      <c r="D175" s="601">
        <v>11</v>
      </c>
      <c r="E175" s="600" t="s">
        <v>215</v>
      </c>
    </row>
    <row r="176" spans="1:7" x14ac:dyDescent="0.2">
      <c r="A176" s="601" t="str">
        <f t="shared" si="2"/>
        <v>INDEC-CM - 35110-71</v>
      </c>
      <c r="B176" s="601">
        <v>35110</v>
      </c>
      <c r="C176" s="601" t="s">
        <v>45</v>
      </c>
      <c r="D176" s="601">
        <v>71</v>
      </c>
      <c r="E176" s="600" t="s">
        <v>216</v>
      </c>
    </row>
    <row r="177" spans="1:7" x14ac:dyDescent="0.2">
      <c r="A177" s="601" t="str">
        <f t="shared" si="2"/>
        <v>INDEC-CM - 31210-31</v>
      </c>
      <c r="B177" s="601">
        <v>31210</v>
      </c>
      <c r="C177" s="601" t="s">
        <v>45</v>
      </c>
      <c r="D177" s="601">
        <v>31</v>
      </c>
      <c r="E177" s="600" t="s">
        <v>217</v>
      </c>
    </row>
    <row r="178" spans="1:7" x14ac:dyDescent="0.2">
      <c r="A178" s="601" t="str">
        <f t="shared" si="2"/>
        <v>INDEC-CM - 31210-32</v>
      </c>
      <c r="B178" s="601">
        <v>31210</v>
      </c>
      <c r="C178" s="601" t="s">
        <v>45</v>
      </c>
      <c r="D178" s="601">
        <v>32</v>
      </c>
      <c r="E178" s="600" t="s">
        <v>218</v>
      </c>
    </row>
    <row r="179" spans="1:7" x14ac:dyDescent="0.2">
      <c r="A179" s="601" t="str">
        <f t="shared" si="2"/>
        <v>INDEC-CM - 41541-11</v>
      </c>
      <c r="B179" s="601">
        <v>41541</v>
      </c>
      <c r="C179" s="601" t="s">
        <v>45</v>
      </c>
      <c r="D179" s="601">
        <v>11</v>
      </c>
      <c r="E179" s="600" t="s">
        <v>219</v>
      </c>
    </row>
    <row r="180" spans="1:7" x14ac:dyDescent="0.2">
      <c r="A180" s="601" t="str">
        <f t="shared" si="2"/>
        <v>INDEC-CM - 34720-11</v>
      </c>
      <c r="B180" s="601">
        <v>34720</v>
      </c>
      <c r="C180" s="601" t="s">
        <v>45</v>
      </c>
      <c r="D180" s="601">
        <v>11</v>
      </c>
      <c r="E180" s="605" t="s">
        <v>220</v>
      </c>
      <c r="F180" s="605"/>
      <c r="G180" s="605"/>
    </row>
    <row r="181" spans="1:7" x14ac:dyDescent="0.2">
      <c r="A181" s="601" t="str">
        <f t="shared" si="2"/>
        <v>INDEC-CM - 47220-11</v>
      </c>
      <c r="B181" s="601">
        <v>47220</v>
      </c>
      <c r="C181" s="601" t="s">
        <v>45</v>
      </c>
      <c r="D181" s="601">
        <v>11</v>
      </c>
      <c r="E181" s="605" t="s">
        <v>221</v>
      </c>
      <c r="F181" s="605"/>
      <c r="G181" s="605"/>
    </row>
    <row r="182" spans="1:7" x14ac:dyDescent="0.2">
      <c r="A182" s="601" t="str">
        <f t="shared" si="2"/>
        <v>INDEC-CM - 31600-81</v>
      </c>
      <c r="B182" s="601">
        <v>31600</v>
      </c>
      <c r="C182" s="601" t="s">
        <v>45</v>
      </c>
      <c r="D182" s="601">
        <v>81</v>
      </c>
      <c r="E182" s="600" t="s">
        <v>222</v>
      </c>
    </row>
    <row r="183" spans="1:7" x14ac:dyDescent="0.2">
      <c r="A183" s="601" t="str">
        <f t="shared" si="2"/>
        <v>INDEC-CM - 42120-31</v>
      </c>
      <c r="B183" s="601">
        <v>42120</v>
      </c>
      <c r="C183" s="601" t="s">
        <v>45</v>
      </c>
      <c r="D183" s="601">
        <v>31</v>
      </c>
      <c r="E183" s="600" t="s">
        <v>223</v>
      </c>
    </row>
    <row r="184" spans="1:7" x14ac:dyDescent="0.2">
      <c r="A184" s="601" t="str">
        <f t="shared" si="2"/>
        <v>INDEC-CM - 35490-21</v>
      </c>
      <c r="B184" s="601">
        <v>35490</v>
      </c>
      <c r="C184" s="601" t="s">
        <v>45</v>
      </c>
      <c r="D184" s="601">
        <v>21</v>
      </c>
      <c r="E184" s="605" t="s">
        <v>224</v>
      </c>
      <c r="F184" s="605"/>
      <c r="G184" s="605"/>
    </row>
    <row r="185" spans="1:7" x14ac:dyDescent="0.2">
      <c r="A185" s="601" t="str">
        <f t="shared" si="2"/>
        <v>INDEC-CM - 31600-41</v>
      </c>
      <c r="B185" s="601">
        <v>31600</v>
      </c>
      <c r="C185" s="601" t="s">
        <v>45</v>
      </c>
      <c r="D185" s="601">
        <v>41</v>
      </c>
      <c r="E185" s="605" t="s">
        <v>225</v>
      </c>
      <c r="F185" s="605"/>
      <c r="G185" s="605"/>
    </row>
    <row r="186" spans="1:7" x14ac:dyDescent="0.2">
      <c r="A186" s="601" t="str">
        <f t="shared" si="2"/>
        <v>INDEC-CM - 42120-21</v>
      </c>
      <c r="B186" s="601">
        <v>42120</v>
      </c>
      <c r="C186" s="601" t="s">
        <v>45</v>
      </c>
      <c r="D186" s="601">
        <v>21</v>
      </c>
      <c r="E186" s="605" t="s">
        <v>226</v>
      </c>
      <c r="F186" s="605"/>
      <c r="G186" s="605"/>
    </row>
    <row r="187" spans="1:7" x14ac:dyDescent="0.2">
      <c r="A187" s="601" t="str">
        <f t="shared" si="2"/>
        <v>INDEC-CM - 42120-22</v>
      </c>
      <c r="B187" s="601">
        <v>42120</v>
      </c>
      <c r="C187" s="601" t="s">
        <v>45</v>
      </c>
      <c r="D187" s="601">
        <v>22</v>
      </c>
      <c r="E187" s="605" t="s">
        <v>227</v>
      </c>
      <c r="F187" s="605"/>
      <c r="G187" s="605"/>
    </row>
    <row r="188" spans="1:7" x14ac:dyDescent="0.2">
      <c r="A188" s="601" t="str">
        <f t="shared" si="2"/>
        <v>INDEC-CM - 31600-33</v>
      </c>
      <c r="B188" s="601">
        <v>31600</v>
      </c>
      <c r="C188" s="601" t="s">
        <v>45</v>
      </c>
      <c r="D188" s="601">
        <v>33</v>
      </c>
      <c r="E188" s="600" t="s">
        <v>228</v>
      </c>
    </row>
    <row r="189" spans="1:7" x14ac:dyDescent="0.2">
      <c r="A189" s="601" t="str">
        <f t="shared" si="2"/>
        <v>INDEC-CM - 31600-32</v>
      </c>
      <c r="B189" s="601">
        <v>31600</v>
      </c>
      <c r="C189" s="601" t="s">
        <v>45</v>
      </c>
      <c r="D189" s="601">
        <v>32</v>
      </c>
      <c r="E189" s="600" t="s">
        <v>229</v>
      </c>
    </row>
    <row r="190" spans="1:7" x14ac:dyDescent="0.2">
      <c r="A190" s="601" t="str">
        <f t="shared" si="2"/>
        <v>INDEC-CM - 31600-31</v>
      </c>
      <c r="B190" s="601">
        <v>31600</v>
      </c>
      <c r="C190" s="601" t="s">
        <v>45</v>
      </c>
      <c r="D190" s="601">
        <v>31</v>
      </c>
      <c r="E190" s="600" t="s">
        <v>230</v>
      </c>
    </row>
    <row r="191" spans="1:7" x14ac:dyDescent="0.2">
      <c r="A191" s="601" t="str">
        <f t="shared" si="2"/>
        <v>INDEC-CM - 42120-11</v>
      </c>
      <c r="B191" s="601">
        <v>42120</v>
      </c>
      <c r="C191" s="601" t="s">
        <v>45</v>
      </c>
      <c r="D191" s="601">
        <v>11</v>
      </c>
      <c r="E191" s="600" t="s">
        <v>231</v>
      </c>
    </row>
    <row r="192" spans="1:7" x14ac:dyDescent="0.2">
      <c r="A192" s="601" t="str">
        <f t="shared" si="2"/>
        <v>INDEC-CM - 31600-23</v>
      </c>
      <c r="B192" s="601">
        <v>31600</v>
      </c>
      <c r="C192" s="601" t="s">
        <v>45</v>
      </c>
      <c r="D192" s="601">
        <v>23</v>
      </c>
      <c r="E192" s="600" t="s">
        <v>232</v>
      </c>
    </row>
    <row r="193" spans="1:7" x14ac:dyDescent="0.2">
      <c r="A193" s="601" t="str">
        <f t="shared" si="2"/>
        <v>INDEC-CM - 31600-22</v>
      </c>
      <c r="B193" s="601">
        <v>31600</v>
      </c>
      <c r="C193" s="601" t="s">
        <v>45</v>
      </c>
      <c r="D193" s="601">
        <v>22</v>
      </c>
      <c r="E193" s="600" t="s">
        <v>233</v>
      </c>
    </row>
    <row r="194" spans="1:7" x14ac:dyDescent="0.2">
      <c r="A194" s="601" t="str">
        <f t="shared" si="2"/>
        <v>INDEC-CM - 31600-21</v>
      </c>
      <c r="B194" s="601">
        <v>31600</v>
      </c>
      <c r="C194" s="601" t="s">
        <v>45</v>
      </c>
      <c r="D194" s="601">
        <v>21</v>
      </c>
      <c r="E194" s="600" t="s">
        <v>234</v>
      </c>
    </row>
    <row r="195" spans="1:7" x14ac:dyDescent="0.2">
      <c r="A195" s="601" t="str">
        <f t="shared" si="2"/>
        <v>INDEC-CM - 41278-33</v>
      </c>
      <c r="B195" s="601">
        <v>41278</v>
      </c>
      <c r="C195" s="601" t="s">
        <v>45</v>
      </c>
      <c r="D195" s="601">
        <v>33</v>
      </c>
      <c r="E195" s="605" t="s">
        <v>235</v>
      </c>
      <c r="F195" s="605"/>
      <c r="G195" s="605"/>
    </row>
    <row r="196" spans="1:7" x14ac:dyDescent="0.2">
      <c r="A196" s="601" t="str">
        <f t="shared" si="2"/>
        <v>INDEC-CM - 36320-33</v>
      </c>
      <c r="B196" s="601">
        <v>36320</v>
      </c>
      <c r="C196" s="601" t="s">
        <v>45</v>
      </c>
      <c r="D196" s="601">
        <v>33</v>
      </c>
      <c r="E196" s="600" t="s">
        <v>236</v>
      </c>
    </row>
    <row r="197" spans="1:7" x14ac:dyDescent="0.2">
      <c r="A197" s="601" t="str">
        <f t="shared" si="2"/>
        <v>INDEC-CM - 48270-11</v>
      </c>
      <c r="B197" s="601">
        <v>48270</v>
      </c>
      <c r="C197" s="601" t="s">
        <v>45</v>
      </c>
      <c r="D197" s="601">
        <v>11</v>
      </c>
      <c r="E197" s="605" t="s">
        <v>237</v>
      </c>
      <c r="F197" s="605"/>
      <c r="G197" s="605"/>
    </row>
    <row r="198" spans="1:7" x14ac:dyDescent="0.2">
      <c r="A198" s="601" t="str">
        <f t="shared" ref="A198:A220" si="3">CONCATENATE("INDEC-CM - ",B198,C198,D198)</f>
        <v>INDEC-CM - 42190-11</v>
      </c>
      <c r="B198" s="601">
        <v>42190</v>
      </c>
      <c r="C198" s="601" t="s">
        <v>45</v>
      </c>
      <c r="D198" s="601">
        <v>11</v>
      </c>
      <c r="E198" s="600" t="s">
        <v>238</v>
      </c>
    </row>
    <row r="199" spans="1:7" x14ac:dyDescent="0.2">
      <c r="A199" s="601" t="str">
        <f t="shared" si="3"/>
        <v>INDEC-CM - 43923-31</v>
      </c>
      <c r="B199" s="601">
        <v>43923</v>
      </c>
      <c r="C199" s="601" t="s">
        <v>45</v>
      </c>
      <c r="D199" s="601">
        <v>31</v>
      </c>
      <c r="E199" s="605" t="s">
        <v>239</v>
      </c>
      <c r="F199" s="605"/>
      <c r="G199" s="605"/>
    </row>
    <row r="200" spans="1:7" x14ac:dyDescent="0.2">
      <c r="A200" s="601" t="str">
        <f t="shared" si="3"/>
        <v>INDEC-CM - 31210-11</v>
      </c>
      <c r="B200" s="601">
        <v>31210</v>
      </c>
      <c r="C200" s="601" t="s">
        <v>45</v>
      </c>
      <c r="D200" s="601">
        <v>11</v>
      </c>
      <c r="E200" s="605" t="s">
        <v>240</v>
      </c>
      <c r="F200" s="605"/>
      <c r="G200" s="605"/>
    </row>
    <row r="201" spans="1:7" x14ac:dyDescent="0.2">
      <c r="A201" s="601" t="str">
        <f t="shared" si="3"/>
        <v>INDEC-CM - 37129-21</v>
      </c>
      <c r="B201" s="601">
        <v>37129</v>
      </c>
      <c r="C201" s="601" t="s">
        <v>45</v>
      </c>
      <c r="D201" s="601">
        <v>21</v>
      </c>
      <c r="E201" s="600" t="s">
        <v>241</v>
      </c>
    </row>
    <row r="202" spans="1:7" x14ac:dyDescent="0.2">
      <c r="A202" s="601" t="str">
        <f t="shared" si="3"/>
        <v>INDEC-CM - 37560-21</v>
      </c>
      <c r="B202" s="601">
        <v>37560</v>
      </c>
      <c r="C202" s="601" t="s">
        <v>45</v>
      </c>
      <c r="D202" s="601">
        <v>21</v>
      </c>
      <c r="E202" s="605" t="s">
        <v>242</v>
      </c>
      <c r="F202" s="605"/>
      <c r="G202" s="605"/>
    </row>
    <row r="203" spans="1:7" x14ac:dyDescent="0.2">
      <c r="A203" s="601" t="str">
        <f t="shared" si="3"/>
        <v>INDEC-CM - 42999-71</v>
      </c>
      <c r="B203" s="601">
        <v>42999</v>
      </c>
      <c r="C203" s="601" t="s">
        <v>45</v>
      </c>
      <c r="D203" s="601">
        <v>71</v>
      </c>
      <c r="E203" s="600" t="s">
        <v>243</v>
      </c>
    </row>
    <row r="204" spans="1:7" x14ac:dyDescent="0.2">
      <c r="A204" s="601" t="str">
        <f t="shared" si="3"/>
        <v>INDEC-CM - 41516-22</v>
      </c>
      <c r="B204" s="601">
        <v>41516</v>
      </c>
      <c r="C204" s="601" t="s">
        <v>45</v>
      </c>
      <c r="D204" s="601">
        <v>22</v>
      </c>
      <c r="E204" s="600" t="s">
        <v>244</v>
      </c>
    </row>
    <row r="205" spans="1:7" x14ac:dyDescent="0.2">
      <c r="A205" s="601" t="str">
        <f t="shared" si="3"/>
        <v>INDEC-CM - 37350-51</v>
      </c>
      <c r="B205" s="601">
        <v>37350</v>
      </c>
      <c r="C205" s="601" t="s">
        <v>45</v>
      </c>
      <c r="D205" s="601">
        <v>51</v>
      </c>
      <c r="E205" s="600" t="s">
        <v>245</v>
      </c>
    </row>
    <row r="206" spans="1:7" x14ac:dyDescent="0.2">
      <c r="A206" s="601" t="str">
        <f t="shared" si="3"/>
        <v>INDEC-CM - 44826-21</v>
      </c>
      <c r="B206" s="601">
        <v>44826</v>
      </c>
      <c r="C206" s="601" t="s">
        <v>45</v>
      </c>
      <c r="D206" s="601">
        <v>21</v>
      </c>
      <c r="E206" s="600" t="s">
        <v>246</v>
      </c>
    </row>
    <row r="207" spans="1:7" x14ac:dyDescent="0.2">
      <c r="A207" s="601" t="str">
        <f t="shared" si="3"/>
        <v>INDEC-CM - 31210-22</v>
      </c>
      <c r="B207" s="601">
        <v>31210</v>
      </c>
      <c r="C207" s="601" t="s">
        <v>45</v>
      </c>
      <c r="D207" s="601">
        <v>22</v>
      </c>
      <c r="E207" s="600" t="s">
        <v>247</v>
      </c>
    </row>
    <row r="208" spans="1:7" x14ac:dyDescent="0.2">
      <c r="A208" s="601" t="str">
        <f t="shared" si="3"/>
        <v>INDEC-CM - 31100-11</v>
      </c>
      <c r="B208" s="601">
        <v>31100</v>
      </c>
      <c r="C208" s="601" t="s">
        <v>45</v>
      </c>
      <c r="D208" s="601">
        <v>11</v>
      </c>
      <c r="E208" s="600" t="s">
        <v>248</v>
      </c>
    </row>
    <row r="209" spans="1:7" x14ac:dyDescent="0.2">
      <c r="A209" s="601" t="str">
        <f t="shared" si="3"/>
        <v>INDEC-CM - 46212-53</v>
      </c>
      <c r="B209" s="601">
        <v>46212</v>
      </c>
      <c r="C209" s="601" t="s">
        <v>45</v>
      </c>
      <c r="D209" s="601">
        <v>53</v>
      </c>
      <c r="E209" s="600" t="s">
        <v>249</v>
      </c>
    </row>
    <row r="210" spans="1:7" x14ac:dyDescent="0.2">
      <c r="A210" s="601" t="str">
        <f t="shared" si="3"/>
        <v>INDEC-CM - 46212-52</v>
      </c>
      <c r="B210" s="601">
        <v>46212</v>
      </c>
      <c r="C210" s="601" t="s">
        <v>45</v>
      </c>
      <c r="D210" s="601">
        <v>52</v>
      </c>
      <c r="E210" s="605" t="s">
        <v>250</v>
      </c>
      <c r="F210" s="605"/>
      <c r="G210" s="605"/>
    </row>
    <row r="211" spans="1:7" x14ac:dyDescent="0.2">
      <c r="A211" s="601" t="str">
        <f t="shared" si="3"/>
        <v>INDEC-CM - 15400-21</v>
      </c>
      <c r="B211" s="601">
        <v>15400</v>
      </c>
      <c r="C211" s="601" t="s">
        <v>45</v>
      </c>
      <c r="D211" s="601">
        <v>21</v>
      </c>
      <c r="E211" s="600" t="s">
        <v>251</v>
      </c>
    </row>
    <row r="212" spans="1:7" x14ac:dyDescent="0.2">
      <c r="A212" s="601" t="str">
        <f t="shared" si="3"/>
        <v>INDEC-CM - 43240-11</v>
      </c>
      <c r="B212" s="601">
        <v>43240</v>
      </c>
      <c r="C212" s="601" t="s">
        <v>45</v>
      </c>
      <c r="D212" s="601">
        <v>11</v>
      </c>
      <c r="E212" s="600" t="s">
        <v>252</v>
      </c>
    </row>
    <row r="213" spans="1:7" x14ac:dyDescent="0.2">
      <c r="A213" s="601" t="str">
        <f t="shared" si="3"/>
        <v>INDEC-CM - 31600-42</v>
      </c>
      <c r="B213" s="601">
        <v>31600</v>
      </c>
      <c r="C213" s="601" t="s">
        <v>45</v>
      </c>
      <c r="D213" s="601">
        <v>42</v>
      </c>
      <c r="E213" s="605" t="s">
        <v>253</v>
      </c>
      <c r="F213" s="605"/>
      <c r="G213" s="605"/>
    </row>
    <row r="214" spans="1:7" x14ac:dyDescent="0.2">
      <c r="A214" s="606" t="str">
        <f t="shared" si="3"/>
        <v>INDEC-CM - 42120-42</v>
      </c>
      <c r="B214" s="606">
        <v>42120</v>
      </c>
      <c r="C214" s="606" t="s">
        <v>45</v>
      </c>
      <c r="D214" s="606">
        <v>42</v>
      </c>
      <c r="E214" s="608" t="s">
        <v>254</v>
      </c>
      <c r="F214" s="600" t="s">
        <v>2038</v>
      </c>
    </row>
    <row r="215" spans="1:7" x14ac:dyDescent="0.2">
      <c r="A215" s="606" t="str">
        <f t="shared" si="3"/>
        <v>INDEC-CM - 42120-41</v>
      </c>
      <c r="B215" s="606">
        <v>42120</v>
      </c>
      <c r="C215" s="606" t="s">
        <v>45</v>
      </c>
      <c r="D215" s="606">
        <v>41</v>
      </c>
      <c r="E215" s="608" t="s">
        <v>255</v>
      </c>
      <c r="F215" s="600" t="s">
        <v>2038</v>
      </c>
    </row>
    <row r="216" spans="1:7" x14ac:dyDescent="0.2">
      <c r="A216" s="606" t="str">
        <f t="shared" si="3"/>
        <v>INDEC-CM - 42120-51</v>
      </c>
      <c r="B216" s="606">
        <v>42120</v>
      </c>
      <c r="C216" s="606" t="s">
        <v>45</v>
      </c>
      <c r="D216" s="606">
        <v>51</v>
      </c>
      <c r="E216" s="607" t="s">
        <v>256</v>
      </c>
      <c r="F216" s="600" t="s">
        <v>2038</v>
      </c>
    </row>
    <row r="217" spans="1:7" x14ac:dyDescent="0.2">
      <c r="A217" s="601" t="str">
        <f t="shared" si="3"/>
        <v>INDEC-CM - 37550-11</v>
      </c>
      <c r="B217" s="601">
        <v>37550</v>
      </c>
      <c r="C217" s="601" t="s">
        <v>45</v>
      </c>
      <c r="D217" s="601">
        <v>11</v>
      </c>
      <c r="E217" s="600" t="s">
        <v>257</v>
      </c>
    </row>
    <row r="218" spans="1:7" x14ac:dyDescent="0.2">
      <c r="A218" s="601" t="str">
        <f t="shared" si="3"/>
        <v>INDEC-CM - 37410-11</v>
      </c>
      <c r="B218" s="601">
        <v>37410</v>
      </c>
      <c r="C218" s="601" t="s">
        <v>45</v>
      </c>
      <c r="D218" s="601">
        <v>11</v>
      </c>
      <c r="E218" s="600" t="s">
        <v>258</v>
      </c>
    </row>
    <row r="219" spans="1:7" x14ac:dyDescent="0.2">
      <c r="A219" s="601" t="str">
        <f t="shared" si="3"/>
        <v>INDEC-CM - 31210-33</v>
      </c>
      <c r="B219" s="601">
        <v>31210</v>
      </c>
      <c r="C219" s="601" t="s">
        <v>45</v>
      </c>
      <c r="D219" s="601">
        <v>33</v>
      </c>
      <c r="E219" s="600" t="s">
        <v>259</v>
      </c>
    </row>
    <row r="220" spans="1:7" x14ac:dyDescent="0.2">
      <c r="A220" s="601" t="str">
        <f t="shared" si="3"/>
        <v>INDEC-CM - 37540-21</v>
      </c>
      <c r="B220" s="601">
        <v>37540</v>
      </c>
      <c r="C220" s="601" t="s">
        <v>45</v>
      </c>
      <c r="D220" s="601">
        <v>21</v>
      </c>
      <c r="E220" s="600" t="s">
        <v>260</v>
      </c>
    </row>
    <row r="223" spans="1:7" x14ac:dyDescent="0.2">
      <c r="A223" s="19"/>
      <c r="B223" s="599" t="s">
        <v>535</v>
      </c>
      <c r="C223" s="18"/>
      <c r="D223" s="18"/>
      <c r="E223" s="19"/>
    </row>
    <row r="224" spans="1:7" x14ac:dyDescent="0.2">
      <c r="A224" s="19"/>
      <c r="B224" s="609"/>
      <c r="C224" s="18"/>
      <c r="D224" s="18"/>
      <c r="E224" s="19"/>
    </row>
    <row r="225" spans="1:5" x14ac:dyDescent="0.2">
      <c r="A225" s="865" t="s">
        <v>343</v>
      </c>
      <c r="B225" s="865" t="s">
        <v>42</v>
      </c>
      <c r="C225" s="865"/>
      <c r="D225" s="865"/>
      <c r="E225" s="865" t="s">
        <v>43</v>
      </c>
    </row>
    <row r="226" spans="1:5" x14ac:dyDescent="0.2">
      <c r="A226" s="865"/>
      <c r="B226" s="865" t="s">
        <v>44</v>
      </c>
      <c r="C226" s="865"/>
      <c r="D226" s="865"/>
      <c r="E226" s="865"/>
    </row>
    <row r="227" spans="1:5" x14ac:dyDescent="0.2">
      <c r="A227" s="601" t="str">
        <f>CONCATENATE(B227,C227,D227)</f>
        <v/>
      </c>
      <c r="B227" s="610"/>
      <c r="C227" s="18"/>
      <c r="D227" s="18"/>
      <c r="E227" s="19"/>
    </row>
    <row r="228" spans="1:5" x14ac:dyDescent="0.2">
      <c r="A228" s="601" t="str">
        <f>CONCATENATE("INDEC-CM - ",B228,C228,D228)</f>
        <v>INDEC-CM - 37370-0</v>
      </c>
      <c r="B228" s="18">
        <v>37370</v>
      </c>
      <c r="C228" s="18" t="s">
        <v>45</v>
      </c>
      <c r="D228" s="18">
        <v>0</v>
      </c>
      <c r="E228" s="19" t="s">
        <v>536</v>
      </c>
    </row>
    <row r="229" spans="1:5" x14ac:dyDescent="0.2">
      <c r="A229" s="601" t="str">
        <f>CONCATENATE("INDEC-CM - ",B229,C229,D229)</f>
        <v>INDEC-CM - 31600-6</v>
      </c>
      <c r="B229" s="18">
        <v>31600</v>
      </c>
      <c r="C229" s="18" t="s">
        <v>45</v>
      </c>
      <c r="D229" s="18">
        <v>6</v>
      </c>
      <c r="E229" s="19" t="s">
        <v>537</v>
      </c>
    </row>
    <row r="230" spans="1:5" x14ac:dyDescent="0.2">
      <c r="A230" s="601" t="str">
        <f>CONCATENATE("INDEC-CM - ",B230,C230,D230)</f>
        <v>INDEC-CM - 41278-0</v>
      </c>
      <c r="B230" s="18">
        <v>41278</v>
      </c>
      <c r="C230" s="18" t="s">
        <v>45</v>
      </c>
      <c r="D230" s="18">
        <v>0</v>
      </c>
      <c r="E230" s="19" t="s">
        <v>538</v>
      </c>
    </row>
    <row r="231" spans="1:5" x14ac:dyDescent="0.2">
      <c r="A231" s="601" t="str">
        <f>CONCATENATE("INDEC-CM - ",B231,C231,D231)</f>
        <v>INDEC-CM - 31600-7</v>
      </c>
      <c r="B231" s="18">
        <v>31600</v>
      </c>
      <c r="C231" s="18" t="s">
        <v>45</v>
      </c>
      <c r="D231" s="18">
        <v>7</v>
      </c>
      <c r="E231" s="19" t="s">
        <v>539</v>
      </c>
    </row>
    <row r="232" spans="1:5" x14ac:dyDescent="0.2">
      <c r="A232" s="601" t="str">
        <f>CONCATENATE("INDEC-CM - ",B232,C232,D232)</f>
        <v>INDEC-CM - 42120-41/42/51</v>
      </c>
      <c r="B232" s="18">
        <v>42120</v>
      </c>
      <c r="C232" s="18" t="s">
        <v>45</v>
      </c>
      <c r="D232" s="18" t="s">
        <v>540</v>
      </c>
      <c r="E232" s="19" t="s">
        <v>541</v>
      </c>
    </row>
    <row r="235" spans="1:5" x14ac:dyDescent="0.2">
      <c r="A235" s="599"/>
      <c r="B235" s="599" t="s">
        <v>543</v>
      </c>
      <c r="C235" s="599"/>
      <c r="D235" s="599"/>
      <c r="E235" s="599"/>
    </row>
    <row r="236" spans="1:5" x14ac:dyDescent="0.2">
      <c r="A236" s="611"/>
      <c r="D236" s="612"/>
    </row>
    <row r="237" spans="1:5" x14ac:dyDescent="0.2">
      <c r="A237" s="865" t="s">
        <v>343</v>
      </c>
      <c r="B237" s="865" t="s">
        <v>42</v>
      </c>
      <c r="C237" s="865"/>
      <c r="D237" s="865"/>
      <c r="E237" s="865" t="s">
        <v>331</v>
      </c>
    </row>
    <row r="238" spans="1:5" x14ac:dyDescent="0.2">
      <c r="A238" s="865"/>
      <c r="B238" s="865"/>
      <c r="C238" s="865"/>
      <c r="D238" s="865"/>
      <c r="E238" s="865"/>
    </row>
    <row r="239" spans="1:5" x14ac:dyDescent="0.2">
      <c r="E239" s="613" t="s">
        <v>267</v>
      </c>
    </row>
    <row r="240" spans="1:5" x14ac:dyDescent="0.2">
      <c r="E240" s="613"/>
    </row>
    <row r="241" spans="1:5" x14ac:dyDescent="0.2">
      <c r="A241" s="611"/>
      <c r="D241" s="612"/>
      <c r="E241" s="598" t="s">
        <v>332</v>
      </c>
    </row>
    <row r="242" spans="1:5" x14ac:dyDescent="0.2">
      <c r="A242" s="611"/>
      <c r="D242" s="612"/>
      <c r="E242" s="598"/>
    </row>
    <row r="243" spans="1:5" x14ac:dyDescent="0.2">
      <c r="B243" s="612"/>
      <c r="E243" s="598" t="s">
        <v>333</v>
      </c>
    </row>
    <row r="244" spans="1:5" x14ac:dyDescent="0.2">
      <c r="A244" s="601" t="str">
        <f>CONCATENATE("INDEC-MO - ",B244,C244,D244)</f>
        <v>INDEC-MO - 51560-11</v>
      </c>
      <c r="B244" s="601">
        <v>51560</v>
      </c>
      <c r="C244" s="601" t="s">
        <v>45</v>
      </c>
      <c r="D244" s="601">
        <v>11</v>
      </c>
      <c r="E244" s="614" t="s">
        <v>1867</v>
      </c>
    </row>
    <row r="245" spans="1:5" x14ac:dyDescent="0.2">
      <c r="A245" s="601" t="str">
        <f>CONCATENATE("INDEC-MO - ",B245,C245,D245)</f>
        <v>INDEC-MO - 51560-12</v>
      </c>
      <c r="B245" s="601">
        <v>51560</v>
      </c>
      <c r="C245" s="601" t="s">
        <v>45</v>
      </c>
      <c r="D245" s="601">
        <v>12</v>
      </c>
      <c r="E245" s="614" t="s">
        <v>903</v>
      </c>
    </row>
    <row r="246" spans="1:5" x14ac:dyDescent="0.2">
      <c r="A246" s="601" t="str">
        <f>CONCATENATE("INDEC-MO - ",B246,C246,D246)</f>
        <v>INDEC-MO - 51560-13</v>
      </c>
      <c r="B246" s="601">
        <v>51560</v>
      </c>
      <c r="C246" s="601" t="s">
        <v>45</v>
      </c>
      <c r="D246" s="601">
        <v>13</v>
      </c>
      <c r="E246" s="614" t="s">
        <v>1012</v>
      </c>
    </row>
    <row r="247" spans="1:5" x14ac:dyDescent="0.2">
      <c r="A247" s="601" t="str">
        <f>CONCATENATE("INDEC-MO - ",B247,C247,D247)</f>
        <v>INDEC-MO - 51560-14</v>
      </c>
      <c r="B247" s="601">
        <v>51560</v>
      </c>
      <c r="C247" s="601" t="s">
        <v>45</v>
      </c>
      <c r="D247" s="601">
        <v>14</v>
      </c>
      <c r="E247" s="614" t="s">
        <v>717</v>
      </c>
    </row>
    <row r="248" spans="1:5" x14ac:dyDescent="0.2">
      <c r="A248" s="601" t="str">
        <f>CONCATENATE(B248,C248,D248)</f>
        <v/>
      </c>
    </row>
    <row r="249" spans="1:5" x14ac:dyDescent="0.2">
      <c r="A249" s="601" t="str">
        <f>CONCATENATE("INDEC-MO - ",B249,C249,D249)</f>
        <v>INDEC-MO - 51560-32</v>
      </c>
      <c r="B249" s="601">
        <v>51560</v>
      </c>
      <c r="C249" s="601" t="s">
        <v>45</v>
      </c>
      <c r="D249" s="601">
        <v>32</v>
      </c>
      <c r="E249" s="598" t="s">
        <v>334</v>
      </c>
    </row>
    <row r="250" spans="1:5" x14ac:dyDescent="0.2">
      <c r="A250" s="601" t="str">
        <f>CONCATENATE(B250,C250,D250)</f>
        <v/>
      </c>
    </row>
    <row r="251" spans="1:5" x14ac:dyDescent="0.2">
      <c r="A251" s="601" t="str">
        <f>CONCATENATE("INDEC-MO - ",B251,C251,D251)</f>
        <v>INDEC-MO - 81291-1</v>
      </c>
      <c r="B251" s="601">
        <v>81291</v>
      </c>
      <c r="C251" s="601" t="s">
        <v>45</v>
      </c>
      <c r="D251" s="601">
        <v>1</v>
      </c>
      <c r="E251" s="613" t="s">
        <v>335</v>
      </c>
    </row>
    <row r="252" spans="1:5" x14ac:dyDescent="0.2">
      <c r="A252" s="601" t="str">
        <f>CONCATENATE(B252,C252,D252)</f>
        <v/>
      </c>
    </row>
    <row r="253" spans="1:5" x14ac:dyDescent="0.2">
      <c r="A253" s="601" t="str">
        <f>CONCATENATE(B253,C253,D253)</f>
        <v/>
      </c>
      <c r="E253" s="613" t="s">
        <v>336</v>
      </c>
    </row>
    <row r="254" spans="1:5" x14ac:dyDescent="0.2">
      <c r="A254" s="601" t="str">
        <f t="shared" ref="A254:A259" si="4">CONCATENATE("INDEC-MO - ",B254,C254,D254)</f>
        <v>INDEC-MO - 51641-1</v>
      </c>
      <c r="B254" s="601">
        <v>51641</v>
      </c>
      <c r="C254" s="601" t="s">
        <v>45</v>
      </c>
      <c r="D254" s="601">
        <v>1</v>
      </c>
      <c r="E254" s="614" t="s">
        <v>337</v>
      </c>
    </row>
    <row r="255" spans="1:5" x14ac:dyDescent="0.2">
      <c r="A255" s="601" t="str">
        <f t="shared" si="4"/>
        <v>INDEC-MO - 51620-1</v>
      </c>
      <c r="B255" s="601">
        <v>51620</v>
      </c>
      <c r="C255" s="601" t="s">
        <v>45</v>
      </c>
      <c r="D255" s="601">
        <v>1</v>
      </c>
      <c r="E255" s="614" t="s">
        <v>338</v>
      </c>
    </row>
    <row r="256" spans="1:5" x14ac:dyDescent="0.2">
      <c r="A256" s="601" t="str">
        <f t="shared" si="4"/>
        <v>INDEC-MO - 51690-1</v>
      </c>
      <c r="B256" s="601">
        <v>51690</v>
      </c>
      <c r="C256" s="601" t="s">
        <v>45</v>
      </c>
      <c r="D256" s="601">
        <v>1</v>
      </c>
      <c r="E256" s="614" t="s">
        <v>339</v>
      </c>
    </row>
    <row r="257" spans="1:7" x14ac:dyDescent="0.2">
      <c r="A257" s="601" t="str">
        <f t="shared" si="4"/>
        <v>INDEC-MO - 51630-1</v>
      </c>
      <c r="B257" s="601">
        <v>51630</v>
      </c>
      <c r="C257" s="601" t="s">
        <v>45</v>
      </c>
      <c r="D257" s="601">
        <v>1</v>
      </c>
      <c r="E257" s="614" t="s">
        <v>340</v>
      </c>
    </row>
    <row r="258" spans="1:7" x14ac:dyDescent="0.2">
      <c r="A258" s="606" t="str">
        <f t="shared" si="4"/>
        <v>INDEC-MO - 51720-1</v>
      </c>
      <c r="B258" s="606">
        <v>51720</v>
      </c>
      <c r="C258" s="606" t="s">
        <v>45</v>
      </c>
      <c r="D258" s="606">
        <v>1</v>
      </c>
      <c r="E258" s="615" t="s">
        <v>341</v>
      </c>
      <c r="F258" s="600" t="s">
        <v>2038</v>
      </c>
    </row>
    <row r="259" spans="1:7" x14ac:dyDescent="0.2">
      <c r="A259" s="601" t="str">
        <f t="shared" si="4"/>
        <v>INDEC-MO - 51730-1</v>
      </c>
      <c r="B259" s="601">
        <v>51730</v>
      </c>
      <c r="C259" s="601" t="s">
        <v>45</v>
      </c>
      <c r="D259" s="601">
        <v>1</v>
      </c>
      <c r="E259" s="614" t="s">
        <v>342</v>
      </c>
    </row>
    <row r="262" spans="1:7" x14ac:dyDescent="0.2">
      <c r="A262" s="609"/>
      <c r="B262" s="599" t="s">
        <v>544</v>
      </c>
      <c r="C262" s="18"/>
      <c r="D262" s="18"/>
      <c r="E262" s="18"/>
      <c r="F262" s="18"/>
      <c r="G262" s="609"/>
    </row>
    <row r="263" spans="1:7" x14ac:dyDescent="0.2">
      <c r="A263" s="616"/>
      <c r="B263" s="18"/>
      <c r="C263" s="18"/>
      <c r="D263" s="617"/>
      <c r="E263" s="19"/>
      <c r="F263" s="19"/>
      <c r="G263" s="618"/>
    </row>
    <row r="264" spans="1:7" x14ac:dyDescent="0.2">
      <c r="A264" s="865" t="s">
        <v>343</v>
      </c>
      <c r="B264" s="865" t="s">
        <v>42</v>
      </c>
      <c r="C264" s="865"/>
      <c r="D264" s="865"/>
      <c r="E264" s="865" t="s">
        <v>331</v>
      </c>
      <c r="F264" s="619"/>
      <c r="G264" s="619"/>
    </row>
    <row r="265" spans="1:7" x14ac:dyDescent="0.2">
      <c r="A265" s="865"/>
      <c r="B265" s="865"/>
      <c r="C265" s="865"/>
      <c r="D265" s="865"/>
      <c r="E265" s="865"/>
      <c r="F265" s="619"/>
      <c r="G265" s="619"/>
    </row>
    <row r="266" spans="1:7" x14ac:dyDescent="0.2">
      <c r="A266" s="19"/>
      <c r="B266" s="18"/>
      <c r="C266" s="18"/>
      <c r="D266" s="18"/>
      <c r="E266" s="19"/>
      <c r="F266" s="19"/>
      <c r="G266" s="19"/>
    </row>
    <row r="267" spans="1:7" x14ac:dyDescent="0.2">
      <c r="A267" s="601" t="str">
        <f>CONCATENATE("INDEC-MO - ",B267,C267,D267)</f>
        <v>INDEC-MO - 51720-1</v>
      </c>
      <c r="B267" s="601">
        <v>51720</v>
      </c>
      <c r="C267" s="601" t="s">
        <v>45</v>
      </c>
      <c r="D267" s="601">
        <v>1</v>
      </c>
      <c r="E267" s="17" t="s">
        <v>545</v>
      </c>
      <c r="F267" s="19"/>
      <c r="G267" s="19"/>
    </row>
    <row r="268" spans="1:7" x14ac:dyDescent="0.2">
      <c r="A268" s="19"/>
      <c r="B268" s="18"/>
      <c r="C268" s="18"/>
      <c r="D268" s="18"/>
      <c r="E268" s="19"/>
      <c r="F268" s="19"/>
      <c r="G268" s="19"/>
    </row>
    <row r="271" spans="1:7" x14ac:dyDescent="0.2">
      <c r="A271" s="598"/>
      <c r="B271" s="599" t="s">
        <v>344</v>
      </c>
      <c r="C271" s="599"/>
      <c r="D271" s="599"/>
    </row>
    <row r="273" spans="1:6" x14ac:dyDescent="0.2">
      <c r="A273" s="865" t="s">
        <v>343</v>
      </c>
      <c r="B273" s="865" t="s">
        <v>42</v>
      </c>
      <c r="C273" s="865"/>
      <c r="D273" s="865"/>
      <c r="E273" s="865" t="s">
        <v>345</v>
      </c>
    </row>
    <row r="274" spans="1:6" x14ac:dyDescent="0.2">
      <c r="A274" s="865"/>
      <c r="B274" s="865" t="s">
        <v>44</v>
      </c>
      <c r="C274" s="865"/>
      <c r="D274" s="865"/>
      <c r="E274" s="865"/>
    </row>
    <row r="275" spans="1:6" x14ac:dyDescent="0.2">
      <c r="E275" s="603"/>
    </row>
    <row r="276" spans="1:6" x14ac:dyDescent="0.2">
      <c r="A276" s="601" t="str">
        <f t="shared" ref="A276:A283" si="5">CONCATENATE("INDEC-EC - ",B276,C276,D276)</f>
        <v>INDEC-EC - 43520-11</v>
      </c>
      <c r="B276" s="601">
        <v>43520</v>
      </c>
      <c r="C276" s="601" t="s">
        <v>45</v>
      </c>
      <c r="D276" s="601">
        <v>11</v>
      </c>
      <c r="E276" s="614" t="s">
        <v>346</v>
      </c>
    </row>
    <row r="277" spans="1:6" x14ac:dyDescent="0.2">
      <c r="A277" s="601" t="str">
        <f t="shared" si="5"/>
        <v>INDEC-EC - 44440-2</v>
      </c>
      <c r="B277" s="601">
        <v>44440</v>
      </c>
      <c r="C277" s="601" t="s">
        <v>45</v>
      </c>
      <c r="D277" s="601">
        <v>2</v>
      </c>
      <c r="E277" s="614" t="s">
        <v>347</v>
      </c>
    </row>
    <row r="278" spans="1:6" x14ac:dyDescent="0.2">
      <c r="A278" s="601" t="str">
        <f t="shared" si="5"/>
        <v>INDEC-EC - 44221-11</v>
      </c>
      <c r="B278" s="601">
        <v>44221</v>
      </c>
      <c r="C278" s="601" t="s">
        <v>45</v>
      </c>
      <c r="D278" s="601">
        <v>11</v>
      </c>
      <c r="E278" s="614" t="s">
        <v>348</v>
      </c>
    </row>
    <row r="279" spans="1:6" x14ac:dyDescent="0.2">
      <c r="A279" s="601" t="str">
        <f t="shared" si="5"/>
        <v>INDEC-EC - 44221-12</v>
      </c>
      <c r="B279" s="601">
        <v>44221</v>
      </c>
      <c r="C279" s="601" t="s">
        <v>45</v>
      </c>
      <c r="D279" s="601">
        <v>12</v>
      </c>
      <c r="E279" s="614" t="s">
        <v>349</v>
      </c>
    </row>
    <row r="280" spans="1:6" x14ac:dyDescent="0.2">
      <c r="A280" s="601" t="str">
        <f t="shared" si="5"/>
        <v>INDEC-EC - 43520-21</v>
      </c>
      <c r="B280" s="601">
        <v>43520</v>
      </c>
      <c r="C280" s="601" t="s">
        <v>45</v>
      </c>
      <c r="D280" s="601">
        <v>21</v>
      </c>
      <c r="E280" s="614" t="s">
        <v>350</v>
      </c>
    </row>
    <row r="281" spans="1:6" x14ac:dyDescent="0.2">
      <c r="A281" s="601" t="str">
        <f t="shared" si="5"/>
        <v>INDEC-EC - 44231-21</v>
      </c>
      <c r="B281" s="601">
        <v>44231</v>
      </c>
      <c r="C281" s="601" t="s">
        <v>45</v>
      </c>
      <c r="D281" s="601">
        <v>21</v>
      </c>
      <c r="E281" s="614" t="s">
        <v>351</v>
      </c>
    </row>
    <row r="282" spans="1:6" x14ac:dyDescent="0.2">
      <c r="A282" s="606" t="str">
        <f t="shared" si="5"/>
        <v>INDEC-EC - 44440-11</v>
      </c>
      <c r="B282" s="606">
        <v>44440</v>
      </c>
      <c r="C282" s="606" t="s">
        <v>45</v>
      </c>
      <c r="D282" s="606">
        <v>11</v>
      </c>
      <c r="E282" s="615" t="s">
        <v>352</v>
      </c>
      <c r="F282" s="600" t="s">
        <v>2038</v>
      </c>
    </row>
    <row r="283" spans="1:6" x14ac:dyDescent="0.2">
      <c r="A283" s="601" t="str">
        <f t="shared" si="5"/>
        <v>INDEC-EC - 44231-11</v>
      </c>
      <c r="B283" s="601">
        <v>44231</v>
      </c>
      <c r="C283" s="601" t="s">
        <v>45</v>
      </c>
      <c r="D283" s="601">
        <v>11</v>
      </c>
      <c r="E283" s="614" t="s">
        <v>353</v>
      </c>
    </row>
    <row r="286" spans="1:6" x14ac:dyDescent="0.2">
      <c r="A286" s="598"/>
      <c r="B286" s="599" t="s">
        <v>354</v>
      </c>
      <c r="C286" s="599"/>
      <c r="D286" s="599"/>
    </row>
    <row r="288" spans="1:6" x14ac:dyDescent="0.2">
      <c r="A288" s="865" t="s">
        <v>343</v>
      </c>
      <c r="B288" s="865" t="s">
        <v>42</v>
      </c>
      <c r="C288" s="865"/>
      <c r="D288" s="865"/>
      <c r="E288" s="865" t="s">
        <v>355</v>
      </c>
    </row>
    <row r="289" spans="1:7" x14ac:dyDescent="0.2">
      <c r="A289" s="865"/>
      <c r="B289" s="865" t="s">
        <v>44</v>
      </c>
      <c r="C289" s="865"/>
      <c r="D289" s="865"/>
      <c r="E289" s="865"/>
    </row>
    <row r="290" spans="1:7" x14ac:dyDescent="0.2">
      <c r="E290" s="603"/>
    </row>
    <row r="291" spans="1:7" x14ac:dyDescent="0.2">
      <c r="A291" s="601" t="str">
        <f t="shared" ref="A291:A298" si="6">CONCATENATE("INDEC-SA - ",B291,C291,D291)</f>
        <v>INDEC-SA - 83107-1</v>
      </c>
      <c r="B291" s="601">
        <v>83107</v>
      </c>
      <c r="C291" s="601" t="s">
        <v>45</v>
      </c>
      <c r="D291" s="601">
        <v>1</v>
      </c>
      <c r="E291" s="620" t="s">
        <v>356</v>
      </c>
    </row>
    <row r="292" spans="1:7" x14ac:dyDescent="0.2">
      <c r="A292" s="601" t="str">
        <f t="shared" si="6"/>
        <v>INDEC-SA - 71240-21</v>
      </c>
      <c r="B292" s="601">
        <v>71240</v>
      </c>
      <c r="C292" s="601" t="s">
        <v>45</v>
      </c>
      <c r="D292" s="601">
        <v>21</v>
      </c>
      <c r="E292" s="600" t="s">
        <v>357</v>
      </c>
    </row>
    <row r="293" spans="1:7" x14ac:dyDescent="0.2">
      <c r="A293" s="601" t="str">
        <f t="shared" si="6"/>
        <v>INDEC-SA - 71240-31</v>
      </c>
      <c r="B293" s="601">
        <v>71240</v>
      </c>
      <c r="C293" s="601" t="s">
        <v>45</v>
      </c>
      <c r="D293" s="601">
        <v>31</v>
      </c>
      <c r="E293" s="600" t="s">
        <v>358</v>
      </c>
    </row>
    <row r="294" spans="1:7" x14ac:dyDescent="0.2">
      <c r="A294" s="601" t="str">
        <f t="shared" si="6"/>
        <v>INDEC-SA - 71240-11</v>
      </c>
      <c r="B294" s="601">
        <v>71240</v>
      </c>
      <c r="C294" s="601" t="s">
        <v>45</v>
      </c>
      <c r="D294" s="601">
        <v>11</v>
      </c>
      <c r="E294" s="620" t="s">
        <v>359</v>
      </c>
    </row>
    <row r="295" spans="1:7" x14ac:dyDescent="0.2">
      <c r="A295" s="601" t="str">
        <f t="shared" si="6"/>
        <v>INDEC-SA - 74110-11</v>
      </c>
      <c r="B295" s="601">
        <v>74110</v>
      </c>
      <c r="C295" s="601" t="s">
        <v>45</v>
      </c>
      <c r="D295" s="601">
        <v>11</v>
      </c>
      <c r="E295" s="620" t="s">
        <v>360</v>
      </c>
    </row>
    <row r="296" spans="1:7" x14ac:dyDescent="0.2">
      <c r="A296" s="601" t="str">
        <f t="shared" si="6"/>
        <v>INDEC-SA - 71233-11</v>
      </c>
      <c r="B296" s="601">
        <v>71233</v>
      </c>
      <c r="C296" s="601" t="s">
        <v>45</v>
      </c>
      <c r="D296" s="601">
        <v>11</v>
      </c>
      <c r="E296" s="620" t="s">
        <v>361</v>
      </c>
    </row>
    <row r="297" spans="1:7" x14ac:dyDescent="0.2">
      <c r="A297" s="601" t="str">
        <f t="shared" si="6"/>
        <v>INDEC-SA - 51800-11</v>
      </c>
      <c r="B297" s="601">
        <v>51800</v>
      </c>
      <c r="C297" s="601" t="s">
        <v>45</v>
      </c>
      <c r="D297" s="601">
        <v>11</v>
      </c>
      <c r="E297" s="621" t="s">
        <v>362</v>
      </c>
    </row>
    <row r="298" spans="1:7" x14ac:dyDescent="0.2">
      <c r="A298" s="601" t="str">
        <f t="shared" si="6"/>
        <v>INDEC-SA - 51800-21</v>
      </c>
      <c r="B298" s="601">
        <v>51800</v>
      </c>
      <c r="C298" s="601" t="s">
        <v>45</v>
      </c>
      <c r="D298" s="601">
        <v>21</v>
      </c>
      <c r="E298" s="620" t="s">
        <v>363</v>
      </c>
    </row>
    <row r="301" spans="1:7" x14ac:dyDescent="0.2">
      <c r="A301" s="622"/>
      <c r="B301" s="599" t="s">
        <v>503</v>
      </c>
      <c r="C301" s="623"/>
      <c r="D301" s="623"/>
      <c r="E301" s="622"/>
      <c r="F301" s="622"/>
      <c r="G301" s="622"/>
    </row>
    <row r="303" spans="1:7" x14ac:dyDescent="0.2">
      <c r="A303" s="865" t="s">
        <v>343</v>
      </c>
      <c r="B303" s="865" t="s">
        <v>42</v>
      </c>
      <c r="C303" s="865"/>
      <c r="D303" s="865"/>
      <c r="E303" s="865" t="s">
        <v>43</v>
      </c>
    </row>
    <row r="304" spans="1:7" x14ac:dyDescent="0.2">
      <c r="A304" s="865"/>
      <c r="B304" s="865" t="s">
        <v>44</v>
      </c>
      <c r="C304" s="865"/>
      <c r="D304" s="865"/>
      <c r="E304" s="865"/>
    </row>
    <row r="305" spans="1:6" x14ac:dyDescent="0.2">
      <c r="A305" s="603"/>
      <c r="B305" s="603"/>
      <c r="C305" s="603"/>
      <c r="D305" s="603"/>
      <c r="E305" s="603"/>
    </row>
    <row r="306" spans="1:6" x14ac:dyDescent="0.2">
      <c r="A306" s="601" t="str">
        <f t="shared" ref="A306:A369" si="7">CONCATENATE("INDEC-PB - ",B306,C306,D306)</f>
        <v>INDEC-PB - 42120-1</v>
      </c>
      <c r="B306" s="601">
        <v>42120</v>
      </c>
      <c r="C306" s="601" t="s">
        <v>45</v>
      </c>
      <c r="D306" s="601">
        <v>1</v>
      </c>
      <c r="E306" s="624" t="s">
        <v>364</v>
      </c>
    </row>
    <row r="307" spans="1:6" x14ac:dyDescent="0.2">
      <c r="A307" s="601" t="str">
        <f t="shared" si="7"/>
        <v>INDEC-PB - 42120-2</v>
      </c>
      <c r="B307" s="601">
        <v>42120</v>
      </c>
      <c r="C307" s="601" t="s">
        <v>45</v>
      </c>
      <c r="D307" s="601">
        <v>2</v>
      </c>
      <c r="E307" s="624" t="s">
        <v>365</v>
      </c>
    </row>
    <row r="308" spans="1:6" x14ac:dyDescent="0.2">
      <c r="A308" s="601" t="str">
        <f t="shared" si="7"/>
        <v>INDEC-PB - 37910-1</v>
      </c>
      <c r="B308" s="601">
        <v>37910</v>
      </c>
      <c r="C308" s="601" t="s">
        <v>45</v>
      </c>
      <c r="D308" s="601">
        <v>1</v>
      </c>
      <c r="E308" s="624" t="s">
        <v>366</v>
      </c>
    </row>
    <row r="309" spans="1:6" x14ac:dyDescent="0.2">
      <c r="A309" s="601" t="str">
        <f t="shared" si="7"/>
        <v>INDEC-PB - 42921-4</v>
      </c>
      <c r="B309" s="601">
        <v>42921</v>
      </c>
      <c r="C309" s="601" t="s">
        <v>45</v>
      </c>
      <c r="D309" s="601">
        <v>4</v>
      </c>
      <c r="E309" s="624" t="s">
        <v>367</v>
      </c>
    </row>
    <row r="310" spans="1:6" x14ac:dyDescent="0.2">
      <c r="A310" s="601" t="str">
        <f t="shared" si="7"/>
        <v>INDEC-PB - 44251-1</v>
      </c>
      <c r="B310" s="601">
        <v>44251</v>
      </c>
      <c r="C310" s="601" t="s">
        <v>45</v>
      </c>
      <c r="D310" s="601">
        <v>1</v>
      </c>
      <c r="E310" s="624" t="s">
        <v>368</v>
      </c>
    </row>
    <row r="311" spans="1:6" x14ac:dyDescent="0.2">
      <c r="A311" s="601" t="str">
        <f t="shared" si="7"/>
        <v>INDEC-PB - 42922-1</v>
      </c>
      <c r="B311" s="601">
        <v>42922</v>
      </c>
      <c r="C311" s="601" t="s">
        <v>45</v>
      </c>
      <c r="D311" s="601">
        <v>1</v>
      </c>
      <c r="E311" s="624" t="s">
        <v>369</v>
      </c>
    </row>
    <row r="312" spans="1:6" x14ac:dyDescent="0.2">
      <c r="A312" s="601" t="str">
        <f t="shared" si="7"/>
        <v>INDEC-PB - 33380-1</v>
      </c>
      <c r="B312" s="601">
        <v>33380</v>
      </c>
      <c r="C312" s="601" t="s">
        <v>45</v>
      </c>
      <c r="D312" s="601">
        <v>1</v>
      </c>
      <c r="E312" s="624" t="s">
        <v>370</v>
      </c>
    </row>
    <row r="313" spans="1:6" x14ac:dyDescent="0.2">
      <c r="A313" s="601" t="str">
        <f t="shared" si="7"/>
        <v>INDEC-PB - 49229-1</v>
      </c>
      <c r="B313" s="601">
        <v>49229</v>
      </c>
      <c r="C313" s="601" t="s">
        <v>45</v>
      </c>
      <c r="D313" s="601">
        <v>1</v>
      </c>
      <c r="E313" s="624" t="s">
        <v>371</v>
      </c>
    </row>
    <row r="314" spans="1:6" x14ac:dyDescent="0.2">
      <c r="A314" s="601" t="str">
        <f t="shared" si="7"/>
        <v>INDEC-PB - 46420-1</v>
      </c>
      <c r="B314" s="601">
        <v>46420</v>
      </c>
      <c r="C314" s="601" t="s">
        <v>45</v>
      </c>
      <c r="D314" s="601">
        <v>1</v>
      </c>
      <c r="E314" s="624" t="s">
        <v>372</v>
      </c>
    </row>
    <row r="315" spans="1:6" x14ac:dyDescent="0.2">
      <c r="A315" s="601" t="str">
        <f t="shared" si="7"/>
        <v>INDEC-PB - 41263-1</v>
      </c>
      <c r="B315" s="601">
        <v>41263</v>
      </c>
      <c r="C315" s="601" t="s">
        <v>45</v>
      </c>
      <c r="D315" s="601">
        <v>1</v>
      </c>
      <c r="E315" s="624" t="s">
        <v>373</v>
      </c>
    </row>
    <row r="316" spans="1:6" x14ac:dyDescent="0.2">
      <c r="A316" s="606" t="str">
        <f t="shared" si="7"/>
        <v>INDEC-PB - 41241-1</v>
      </c>
      <c r="B316" s="606">
        <v>41241</v>
      </c>
      <c r="C316" s="606" t="s">
        <v>45</v>
      </c>
      <c r="D316" s="606">
        <v>1</v>
      </c>
      <c r="E316" s="625" t="s">
        <v>374</v>
      </c>
      <c r="F316" s="600" t="s">
        <v>2038</v>
      </c>
    </row>
    <row r="317" spans="1:6" x14ac:dyDescent="0.2">
      <c r="A317" s="601" t="str">
        <f t="shared" si="7"/>
        <v>INDEC-PB - 44216-1</v>
      </c>
      <c r="B317" s="601">
        <v>44216</v>
      </c>
      <c r="C317" s="601" t="s">
        <v>45</v>
      </c>
      <c r="D317" s="601">
        <v>1</v>
      </c>
      <c r="E317" s="624" t="s">
        <v>375</v>
      </c>
    </row>
    <row r="318" spans="1:6" x14ac:dyDescent="0.2">
      <c r="A318" s="601" t="str">
        <f t="shared" si="7"/>
        <v>INDEC-PB - 15400-1</v>
      </c>
      <c r="B318" s="601">
        <v>15400</v>
      </c>
      <c r="C318" s="601" t="s">
        <v>45</v>
      </c>
      <c r="D318" s="601">
        <v>1</v>
      </c>
      <c r="E318" s="624" t="s">
        <v>376</v>
      </c>
    </row>
    <row r="319" spans="1:6" x14ac:dyDescent="0.2">
      <c r="A319" s="601" t="str">
        <f t="shared" si="7"/>
        <v>INDEC-PB - 15310-1</v>
      </c>
      <c r="B319" s="601">
        <v>15310</v>
      </c>
      <c r="C319" s="601" t="s">
        <v>45</v>
      </c>
      <c r="D319" s="601">
        <v>1</v>
      </c>
      <c r="E319" s="624" t="s">
        <v>377</v>
      </c>
    </row>
    <row r="320" spans="1:6" x14ac:dyDescent="0.2">
      <c r="A320" s="606" t="str">
        <f t="shared" si="7"/>
        <v>INDEC-PB - 37210-1</v>
      </c>
      <c r="B320" s="606">
        <v>37210</v>
      </c>
      <c r="C320" s="606" t="s">
        <v>45</v>
      </c>
      <c r="D320" s="606">
        <v>1</v>
      </c>
      <c r="E320" s="625" t="s">
        <v>378</v>
      </c>
      <c r="F320" s="600" t="s">
        <v>2038</v>
      </c>
    </row>
    <row r="321" spans="1:6" x14ac:dyDescent="0.2">
      <c r="A321" s="606" t="str">
        <f t="shared" si="7"/>
        <v>INDEC-PB - 37540-2</v>
      </c>
      <c r="B321" s="606">
        <v>37540</v>
      </c>
      <c r="C321" s="606" t="s">
        <v>45</v>
      </c>
      <c r="D321" s="606">
        <v>2</v>
      </c>
      <c r="E321" s="625" t="s">
        <v>379</v>
      </c>
      <c r="F321" s="600" t="s">
        <v>2038</v>
      </c>
    </row>
    <row r="322" spans="1:6" x14ac:dyDescent="0.2">
      <c r="A322" s="601" t="str">
        <f t="shared" si="7"/>
        <v>INDEC-PB - 49113-1</v>
      </c>
      <c r="B322" s="601">
        <v>49113</v>
      </c>
      <c r="C322" s="601" t="s">
        <v>45</v>
      </c>
      <c r="D322" s="601">
        <v>1</v>
      </c>
      <c r="E322" s="624" t="s">
        <v>380</v>
      </c>
    </row>
    <row r="323" spans="1:6" x14ac:dyDescent="0.2">
      <c r="A323" s="601" t="str">
        <f t="shared" si="7"/>
        <v>INDEC-PB - 36270-1</v>
      </c>
      <c r="B323" s="601">
        <v>36270</v>
      </c>
      <c r="C323" s="601" t="s">
        <v>45</v>
      </c>
      <c r="D323" s="601">
        <v>1</v>
      </c>
      <c r="E323" s="624" t="s">
        <v>381</v>
      </c>
    </row>
    <row r="324" spans="1:6" x14ac:dyDescent="0.2">
      <c r="A324" s="601" t="str">
        <f t="shared" si="7"/>
        <v>INDEC-PB - 46539-1</v>
      </c>
      <c r="B324" s="601">
        <v>46539</v>
      </c>
      <c r="C324" s="601" t="s">
        <v>45</v>
      </c>
      <c r="D324" s="601">
        <v>1</v>
      </c>
      <c r="E324" s="624" t="s">
        <v>382</v>
      </c>
    </row>
    <row r="325" spans="1:6" x14ac:dyDescent="0.2">
      <c r="A325" s="601" t="str">
        <f t="shared" si="7"/>
        <v>INDEC-PB - 37370-1</v>
      </c>
      <c r="B325" s="601">
        <v>37370</v>
      </c>
      <c r="C325" s="601" t="s">
        <v>45</v>
      </c>
      <c r="D325" s="601">
        <v>1</v>
      </c>
      <c r="E325" s="624" t="s">
        <v>383</v>
      </c>
    </row>
    <row r="326" spans="1:6" x14ac:dyDescent="0.2">
      <c r="A326" s="601" t="str">
        <f t="shared" si="7"/>
        <v>INDEC-PB - 35110-4</v>
      </c>
      <c r="B326" s="601">
        <v>35110</v>
      </c>
      <c r="C326" s="601" t="s">
        <v>45</v>
      </c>
      <c r="D326" s="601">
        <v>4</v>
      </c>
      <c r="E326" s="624" t="s">
        <v>384</v>
      </c>
    </row>
    <row r="327" spans="1:6" x14ac:dyDescent="0.2">
      <c r="A327" s="601" t="str">
        <f t="shared" si="7"/>
        <v>INDEC-PB - 41261-1</v>
      </c>
      <c r="B327" s="601">
        <v>41261</v>
      </c>
      <c r="C327" s="601" t="s">
        <v>45</v>
      </c>
      <c r="D327" s="601">
        <v>1</v>
      </c>
      <c r="E327" s="624" t="s">
        <v>385</v>
      </c>
    </row>
    <row r="328" spans="1:6" x14ac:dyDescent="0.2">
      <c r="A328" s="601" t="str">
        <f t="shared" si="7"/>
        <v>INDEC-PB - 36490-6</v>
      </c>
      <c r="B328" s="601">
        <v>36490</v>
      </c>
      <c r="C328" s="601" t="s">
        <v>45</v>
      </c>
      <c r="D328" s="601">
        <v>6</v>
      </c>
      <c r="E328" s="624" t="s">
        <v>386</v>
      </c>
    </row>
    <row r="329" spans="1:6" x14ac:dyDescent="0.2">
      <c r="A329" s="601" t="str">
        <f t="shared" si="7"/>
        <v>INDEC-PB - 42944-1</v>
      </c>
      <c r="B329" s="601">
        <v>42944</v>
      </c>
      <c r="C329" s="601" t="s">
        <v>45</v>
      </c>
      <c r="D329" s="601">
        <v>1</v>
      </c>
      <c r="E329" s="624" t="s">
        <v>387</v>
      </c>
    </row>
    <row r="330" spans="1:6" x14ac:dyDescent="0.2">
      <c r="A330" s="601" t="str">
        <f t="shared" si="7"/>
        <v>INDEC-PB - 42320-1</v>
      </c>
      <c r="B330" s="601">
        <v>42320</v>
      </c>
      <c r="C330" s="601" t="s">
        <v>45</v>
      </c>
      <c r="D330" s="601">
        <v>1</v>
      </c>
      <c r="E330" s="624" t="s">
        <v>388</v>
      </c>
    </row>
    <row r="331" spans="1:6" x14ac:dyDescent="0.2">
      <c r="A331" s="601" t="str">
        <f t="shared" si="7"/>
        <v>INDEC-PB - 37420-1</v>
      </c>
      <c r="B331" s="601">
        <v>37420</v>
      </c>
      <c r="C331" s="601" t="s">
        <v>45</v>
      </c>
      <c r="D331" s="601">
        <v>1</v>
      </c>
      <c r="E331" s="624" t="s">
        <v>389</v>
      </c>
    </row>
    <row r="332" spans="1:6" x14ac:dyDescent="0.2">
      <c r="A332" s="606" t="str">
        <f t="shared" si="7"/>
        <v>INDEC-PB - 49115-2</v>
      </c>
      <c r="B332" s="606">
        <v>49115</v>
      </c>
      <c r="C332" s="606" t="s">
        <v>45</v>
      </c>
      <c r="D332" s="606">
        <v>2</v>
      </c>
      <c r="E332" s="625" t="s">
        <v>390</v>
      </c>
      <c r="F332" s="600" t="s">
        <v>2038</v>
      </c>
    </row>
    <row r="333" spans="1:6" x14ac:dyDescent="0.2">
      <c r="A333" s="606" t="str">
        <f t="shared" si="7"/>
        <v>INDEC-PB - 36320-3</v>
      </c>
      <c r="B333" s="606">
        <v>36320</v>
      </c>
      <c r="C333" s="606" t="s">
        <v>45</v>
      </c>
      <c r="D333" s="606">
        <v>3</v>
      </c>
      <c r="E333" s="625" t="s">
        <v>391</v>
      </c>
      <c r="F333" s="600" t="s">
        <v>2038</v>
      </c>
    </row>
    <row r="334" spans="1:6" x14ac:dyDescent="0.2">
      <c r="A334" s="606" t="str">
        <f t="shared" si="7"/>
        <v>INDEC-PB - 36320-2</v>
      </c>
      <c r="B334" s="606">
        <v>36320</v>
      </c>
      <c r="C334" s="606" t="s">
        <v>45</v>
      </c>
      <c r="D334" s="606">
        <v>2</v>
      </c>
      <c r="E334" s="625" t="s">
        <v>392</v>
      </c>
      <c r="F334" s="600" t="s">
        <v>2038</v>
      </c>
    </row>
    <row r="335" spans="1:6" x14ac:dyDescent="0.2">
      <c r="A335" s="601" t="str">
        <f t="shared" si="7"/>
        <v>INDEC-PB - 36320-1</v>
      </c>
      <c r="B335" s="601">
        <v>36320</v>
      </c>
      <c r="C335" s="601" t="s">
        <v>45</v>
      </c>
      <c r="D335" s="601">
        <v>1</v>
      </c>
      <c r="E335" s="624" t="s">
        <v>393</v>
      </c>
    </row>
    <row r="336" spans="1:6" x14ac:dyDescent="0.2">
      <c r="A336" s="601" t="str">
        <f t="shared" si="7"/>
        <v>INDEC-PB - 46220-1</v>
      </c>
      <c r="B336" s="601">
        <v>46220</v>
      </c>
      <c r="C336" s="601" t="s">
        <v>45</v>
      </c>
      <c r="D336" s="601">
        <v>1</v>
      </c>
      <c r="E336" s="624" t="s">
        <v>394</v>
      </c>
    </row>
    <row r="337" spans="1:6" x14ac:dyDescent="0.2">
      <c r="A337" s="606" t="str">
        <f t="shared" si="7"/>
        <v>INDEC-PB - 34800-1</v>
      </c>
      <c r="B337" s="606">
        <v>34800</v>
      </c>
      <c r="C337" s="606" t="s">
        <v>45</v>
      </c>
      <c r="D337" s="606">
        <v>1</v>
      </c>
      <c r="E337" s="625" t="s">
        <v>395</v>
      </c>
      <c r="F337" s="600" t="s">
        <v>2038</v>
      </c>
    </row>
    <row r="338" spans="1:6" x14ac:dyDescent="0.2">
      <c r="A338" s="601" t="str">
        <f t="shared" si="7"/>
        <v>INDEC-PB - 37440-1</v>
      </c>
      <c r="B338" s="601">
        <v>37440</v>
      </c>
      <c r="C338" s="601" t="s">
        <v>45</v>
      </c>
      <c r="D338" s="601">
        <v>1</v>
      </c>
      <c r="E338" s="624" t="s">
        <v>396</v>
      </c>
    </row>
    <row r="339" spans="1:6" x14ac:dyDescent="0.2">
      <c r="A339" s="601" t="str">
        <f t="shared" si="7"/>
        <v>INDEC-PB - 42992-1</v>
      </c>
      <c r="B339" s="601">
        <v>42992</v>
      </c>
      <c r="C339" s="601" t="s">
        <v>45</v>
      </c>
      <c r="D339" s="601">
        <v>1</v>
      </c>
      <c r="E339" s="624" t="s">
        <v>397</v>
      </c>
    </row>
    <row r="340" spans="1:6" x14ac:dyDescent="0.2">
      <c r="A340" s="601" t="str">
        <f t="shared" si="7"/>
        <v>INDEC-PB - 42999-2</v>
      </c>
      <c r="B340" s="601">
        <v>42999</v>
      </c>
      <c r="C340" s="601" t="s">
        <v>45</v>
      </c>
      <c r="D340" s="601">
        <v>2</v>
      </c>
      <c r="E340" s="624" t="s">
        <v>398</v>
      </c>
    </row>
    <row r="341" spans="1:6" x14ac:dyDescent="0.2">
      <c r="A341" s="601" t="str">
        <f t="shared" si="7"/>
        <v>INDEC-PB - 42944-2</v>
      </c>
      <c r="B341" s="601">
        <v>42944</v>
      </c>
      <c r="C341" s="601" t="s">
        <v>45</v>
      </c>
      <c r="D341" s="601">
        <v>2</v>
      </c>
      <c r="E341" s="624" t="s">
        <v>399</v>
      </c>
    </row>
    <row r="342" spans="1:6" x14ac:dyDescent="0.2">
      <c r="A342" s="601" t="str">
        <f t="shared" si="7"/>
        <v>INDEC-PB - 43230-1</v>
      </c>
      <c r="B342" s="601">
        <v>43230</v>
      </c>
      <c r="C342" s="601" t="s">
        <v>45</v>
      </c>
      <c r="D342" s="601">
        <v>1</v>
      </c>
      <c r="E342" s="624" t="s">
        <v>400</v>
      </c>
    </row>
    <row r="343" spans="1:6" x14ac:dyDescent="0.2">
      <c r="A343" s="601" t="str">
        <f t="shared" si="7"/>
        <v>INDEC-PB - 46340-1</v>
      </c>
      <c r="B343" s="601">
        <v>46340</v>
      </c>
      <c r="C343" s="601" t="s">
        <v>45</v>
      </c>
      <c r="D343" s="601">
        <v>1</v>
      </c>
      <c r="E343" s="624" t="s">
        <v>401</v>
      </c>
    </row>
    <row r="344" spans="1:6" x14ac:dyDescent="0.2">
      <c r="A344" s="606" t="str">
        <f t="shared" si="7"/>
        <v>INDEC-PB - 36270-2</v>
      </c>
      <c r="B344" s="606">
        <v>36270</v>
      </c>
      <c r="C344" s="606" t="s">
        <v>45</v>
      </c>
      <c r="D344" s="606">
        <v>2</v>
      </c>
      <c r="E344" s="625" t="s">
        <v>402</v>
      </c>
      <c r="F344" s="600" t="s">
        <v>2038</v>
      </c>
    </row>
    <row r="345" spans="1:6" x14ac:dyDescent="0.2">
      <c r="A345" s="601" t="str">
        <f t="shared" si="7"/>
        <v>INDEC-PB - 42190-2</v>
      </c>
      <c r="B345" s="601">
        <v>42190</v>
      </c>
      <c r="C345" s="601" t="s">
        <v>45</v>
      </c>
      <c r="D345" s="601">
        <v>2</v>
      </c>
      <c r="E345" s="624" t="s">
        <v>403</v>
      </c>
    </row>
    <row r="346" spans="1:6" x14ac:dyDescent="0.2">
      <c r="A346" s="601" t="str">
        <f t="shared" si="7"/>
        <v>INDEC-PB - 36990-2</v>
      </c>
      <c r="B346" s="601">
        <v>36990</v>
      </c>
      <c r="C346" s="601" t="s">
        <v>45</v>
      </c>
      <c r="D346" s="601">
        <v>2</v>
      </c>
      <c r="E346" s="624" t="s">
        <v>404</v>
      </c>
    </row>
    <row r="347" spans="1:6" x14ac:dyDescent="0.2">
      <c r="A347" s="606" t="str">
        <f t="shared" si="7"/>
        <v>INDEC-PB - 31600-1</v>
      </c>
      <c r="B347" s="606">
        <v>31600</v>
      </c>
      <c r="C347" s="606" t="s">
        <v>45</v>
      </c>
      <c r="D347" s="606">
        <v>1</v>
      </c>
      <c r="E347" s="625" t="s">
        <v>405</v>
      </c>
      <c r="F347" s="600" t="s">
        <v>2038</v>
      </c>
    </row>
    <row r="348" spans="1:6" x14ac:dyDescent="0.2">
      <c r="A348" s="601" t="str">
        <f t="shared" si="7"/>
        <v>INDEC-PB - 32600-1</v>
      </c>
      <c r="B348" s="601">
        <v>32600</v>
      </c>
      <c r="C348" s="601" t="s">
        <v>45</v>
      </c>
      <c r="D348" s="601">
        <v>1</v>
      </c>
      <c r="E348" s="624" t="s">
        <v>406</v>
      </c>
    </row>
    <row r="349" spans="1:6" x14ac:dyDescent="0.2">
      <c r="A349" s="601" t="str">
        <f t="shared" si="7"/>
        <v>INDEC-PB - 36111-3</v>
      </c>
      <c r="B349" s="601">
        <v>36111</v>
      </c>
      <c r="C349" s="601" t="s">
        <v>45</v>
      </c>
      <c r="D349" s="601">
        <v>3</v>
      </c>
      <c r="E349" s="624" t="s">
        <v>407</v>
      </c>
    </row>
    <row r="350" spans="1:6" x14ac:dyDescent="0.2">
      <c r="A350" s="601" t="str">
        <f t="shared" si="7"/>
        <v>INDEC-PB - 36111-2</v>
      </c>
      <c r="B350" s="601">
        <v>36111</v>
      </c>
      <c r="C350" s="601" t="s">
        <v>45</v>
      </c>
      <c r="D350" s="601">
        <v>2</v>
      </c>
      <c r="E350" s="624" t="s">
        <v>408</v>
      </c>
    </row>
    <row r="351" spans="1:6" x14ac:dyDescent="0.2">
      <c r="A351" s="606" t="str">
        <f t="shared" si="7"/>
        <v>INDEC-PB - 36111-1</v>
      </c>
      <c r="B351" s="606">
        <v>36111</v>
      </c>
      <c r="C351" s="606" t="s">
        <v>45</v>
      </c>
      <c r="D351" s="606">
        <v>1</v>
      </c>
      <c r="E351" s="625" t="s">
        <v>409</v>
      </c>
      <c r="F351" s="600" t="s">
        <v>2038</v>
      </c>
    </row>
    <row r="352" spans="1:6" x14ac:dyDescent="0.2">
      <c r="A352" s="601" t="str">
        <f t="shared" si="7"/>
        <v>INDEC-PB - 42921-1</v>
      </c>
      <c r="B352" s="601">
        <v>42921</v>
      </c>
      <c r="C352" s="601" t="s">
        <v>45</v>
      </c>
      <c r="D352" s="601">
        <v>1</v>
      </c>
      <c r="E352" s="624" t="s">
        <v>410</v>
      </c>
    </row>
    <row r="353" spans="1:6" x14ac:dyDescent="0.2">
      <c r="A353" s="606" t="str">
        <f t="shared" si="7"/>
        <v>INDEC-PB - 34800-2</v>
      </c>
      <c r="B353" s="606">
        <v>34800</v>
      </c>
      <c r="C353" s="606" t="s">
        <v>45</v>
      </c>
      <c r="D353" s="606">
        <v>2</v>
      </c>
      <c r="E353" s="625" t="s">
        <v>411</v>
      </c>
      <c r="F353" s="600" t="s">
        <v>2038</v>
      </c>
    </row>
    <row r="354" spans="1:6" x14ac:dyDescent="0.2">
      <c r="A354" s="601" t="str">
        <f t="shared" si="7"/>
        <v>INDEC-PB - 49129-1</v>
      </c>
      <c r="B354" s="601">
        <v>49129</v>
      </c>
      <c r="C354" s="601" t="s">
        <v>45</v>
      </c>
      <c r="D354" s="601">
        <v>1</v>
      </c>
      <c r="E354" s="624" t="s">
        <v>412</v>
      </c>
    </row>
    <row r="355" spans="1:6" x14ac:dyDescent="0.2">
      <c r="A355" s="601" t="str">
        <f t="shared" si="7"/>
        <v>INDEC-PB - 43220-1</v>
      </c>
      <c r="B355" s="601">
        <v>43220</v>
      </c>
      <c r="C355" s="601" t="s">
        <v>45</v>
      </c>
      <c r="D355" s="601">
        <v>1</v>
      </c>
      <c r="E355" s="624" t="s">
        <v>413</v>
      </c>
    </row>
    <row r="356" spans="1:6" x14ac:dyDescent="0.2">
      <c r="A356" s="601" t="str">
        <f t="shared" si="7"/>
        <v>INDEC-PB - 35110-1</v>
      </c>
      <c r="B356" s="601">
        <v>35110</v>
      </c>
      <c r="C356" s="601" t="s">
        <v>45</v>
      </c>
      <c r="D356" s="601">
        <v>1</v>
      </c>
      <c r="E356" s="624" t="s">
        <v>414</v>
      </c>
    </row>
    <row r="357" spans="1:6" x14ac:dyDescent="0.2">
      <c r="A357" s="601" t="str">
        <f t="shared" si="7"/>
        <v>INDEC-PB - 17100-1</v>
      </c>
      <c r="B357" s="601">
        <v>17100</v>
      </c>
      <c r="C357" s="601" t="s">
        <v>45</v>
      </c>
      <c r="D357" s="601">
        <v>1</v>
      </c>
      <c r="E357" s="624" t="s">
        <v>415</v>
      </c>
    </row>
    <row r="358" spans="1:6" x14ac:dyDescent="0.2">
      <c r="A358" s="601" t="str">
        <f t="shared" si="7"/>
        <v>INDEC-PB - 49129-3</v>
      </c>
      <c r="B358" s="601">
        <v>49129</v>
      </c>
      <c r="C358" s="601" t="s">
        <v>45</v>
      </c>
      <c r="D358" s="601">
        <v>3</v>
      </c>
      <c r="E358" s="624" t="s">
        <v>416</v>
      </c>
    </row>
    <row r="359" spans="1:6" x14ac:dyDescent="0.2">
      <c r="A359" s="601" t="str">
        <f t="shared" si="7"/>
        <v>INDEC-PB - 35110-2</v>
      </c>
      <c r="B359" s="601">
        <v>35110</v>
      </c>
      <c r="C359" s="601" t="s">
        <v>45</v>
      </c>
      <c r="D359" s="601">
        <v>2</v>
      </c>
      <c r="E359" s="624" t="s">
        <v>417</v>
      </c>
    </row>
    <row r="360" spans="1:6" x14ac:dyDescent="0.2">
      <c r="A360" s="601" t="str">
        <f t="shared" si="7"/>
        <v>INDEC-PB - 37129-1</v>
      </c>
      <c r="B360" s="601">
        <v>37129</v>
      </c>
      <c r="C360" s="601" t="s">
        <v>45</v>
      </c>
      <c r="D360" s="601">
        <v>1</v>
      </c>
      <c r="E360" s="624" t="s">
        <v>418</v>
      </c>
    </row>
    <row r="361" spans="1:6" x14ac:dyDescent="0.2">
      <c r="A361" s="601" t="str">
        <f t="shared" si="7"/>
        <v>INDEC-PB - 36490-4</v>
      </c>
      <c r="B361" s="601">
        <v>36490</v>
      </c>
      <c r="C361" s="601" t="s">
        <v>45</v>
      </c>
      <c r="D361" s="601">
        <v>4</v>
      </c>
      <c r="E361" s="624" t="s">
        <v>419</v>
      </c>
    </row>
    <row r="362" spans="1:6" x14ac:dyDescent="0.2">
      <c r="A362" s="601" t="str">
        <f t="shared" si="7"/>
        <v>INDEC-PB - 33370-1</v>
      </c>
      <c r="B362" s="601">
        <v>33370</v>
      </c>
      <c r="C362" s="601" t="s">
        <v>45</v>
      </c>
      <c r="D362" s="601">
        <v>1</v>
      </c>
      <c r="E362" s="624" t="s">
        <v>420</v>
      </c>
    </row>
    <row r="363" spans="1:6" x14ac:dyDescent="0.2">
      <c r="A363" s="601" t="str">
        <f t="shared" si="7"/>
        <v>INDEC-PB - 12020-1</v>
      </c>
      <c r="B363" s="601">
        <v>12020</v>
      </c>
      <c r="C363" s="601" t="s">
        <v>45</v>
      </c>
      <c r="D363" s="601">
        <v>1</v>
      </c>
      <c r="E363" s="624" t="s">
        <v>421</v>
      </c>
    </row>
    <row r="364" spans="1:6" x14ac:dyDescent="0.2">
      <c r="A364" s="601" t="str">
        <f t="shared" si="7"/>
        <v>INDEC-PB - 33360-1</v>
      </c>
      <c r="B364" s="601">
        <v>33360</v>
      </c>
      <c r="C364" s="601" t="s">
        <v>45</v>
      </c>
      <c r="D364" s="601">
        <v>1</v>
      </c>
      <c r="E364" s="624" t="s">
        <v>422</v>
      </c>
    </row>
    <row r="365" spans="1:6" x14ac:dyDescent="0.2">
      <c r="A365" s="601" t="str">
        <f t="shared" si="7"/>
        <v>INDEC-PB - 33410-1</v>
      </c>
      <c r="B365" s="601">
        <v>33410</v>
      </c>
      <c r="C365" s="601" t="s">
        <v>45</v>
      </c>
      <c r="D365" s="601">
        <v>1</v>
      </c>
      <c r="E365" s="624" t="s">
        <v>423</v>
      </c>
    </row>
    <row r="366" spans="1:6" x14ac:dyDescent="0.2">
      <c r="A366" s="601" t="str">
        <f t="shared" si="7"/>
        <v>INDEC-PB - 42911-1</v>
      </c>
      <c r="B366" s="601">
        <v>42911</v>
      </c>
      <c r="C366" s="601" t="s">
        <v>45</v>
      </c>
      <c r="D366" s="601">
        <v>1</v>
      </c>
      <c r="E366" s="624" t="s">
        <v>424</v>
      </c>
    </row>
    <row r="367" spans="1:6" x14ac:dyDescent="0.2">
      <c r="A367" s="601" t="str">
        <f t="shared" si="7"/>
        <v>INDEC-PB - 46113-1</v>
      </c>
      <c r="B367" s="601">
        <v>46113</v>
      </c>
      <c r="C367" s="601" t="s">
        <v>45</v>
      </c>
      <c r="D367" s="601">
        <v>1</v>
      </c>
      <c r="E367" s="624" t="s">
        <v>425</v>
      </c>
    </row>
    <row r="368" spans="1:6" x14ac:dyDescent="0.2">
      <c r="A368" s="601" t="str">
        <f t="shared" si="7"/>
        <v>INDEC-PB - 42921-2</v>
      </c>
      <c r="B368" s="601">
        <v>42921</v>
      </c>
      <c r="C368" s="601" t="s">
        <v>45</v>
      </c>
      <c r="D368" s="601">
        <v>2</v>
      </c>
      <c r="E368" s="624" t="s">
        <v>426</v>
      </c>
    </row>
    <row r="369" spans="1:6" x14ac:dyDescent="0.2">
      <c r="A369" s="601" t="str">
        <f t="shared" si="7"/>
        <v>INDEC-PB - 37990-1</v>
      </c>
      <c r="B369" s="601">
        <v>37990</v>
      </c>
      <c r="C369" s="601" t="s">
        <v>45</v>
      </c>
      <c r="D369" s="601">
        <v>1</v>
      </c>
      <c r="E369" s="624" t="s">
        <v>427</v>
      </c>
    </row>
    <row r="370" spans="1:6" x14ac:dyDescent="0.2">
      <c r="A370" s="601" t="str">
        <f t="shared" ref="A370:A425" si="8">CONCATENATE("INDEC-PB - ",B370,C370,D370)</f>
        <v>INDEC-PB - 41242-1</v>
      </c>
      <c r="B370" s="601">
        <v>41242</v>
      </c>
      <c r="C370" s="601" t="s">
        <v>45</v>
      </c>
      <c r="D370" s="601">
        <v>1</v>
      </c>
      <c r="E370" s="624" t="s">
        <v>428</v>
      </c>
    </row>
    <row r="371" spans="1:6" x14ac:dyDescent="0.2">
      <c r="A371" s="601" t="str">
        <f t="shared" si="8"/>
        <v>INDEC-PB - 37510-1</v>
      </c>
      <c r="B371" s="601">
        <v>37510</v>
      </c>
      <c r="C371" s="601" t="s">
        <v>45</v>
      </c>
      <c r="D371" s="601">
        <v>1</v>
      </c>
      <c r="E371" s="624" t="s">
        <v>429</v>
      </c>
    </row>
    <row r="372" spans="1:6" x14ac:dyDescent="0.2">
      <c r="A372" s="601" t="str">
        <f t="shared" si="8"/>
        <v>INDEC-PB - 44440-1</v>
      </c>
      <c r="B372" s="601">
        <v>44440</v>
      </c>
      <c r="C372" s="601" t="s">
        <v>45</v>
      </c>
      <c r="D372" s="601">
        <v>1</v>
      </c>
      <c r="E372" s="624" t="s">
        <v>430</v>
      </c>
    </row>
    <row r="373" spans="1:6" x14ac:dyDescent="0.2">
      <c r="A373" s="601" t="str">
        <f t="shared" si="8"/>
        <v>INDEC-PB - 35110-5</v>
      </c>
      <c r="B373" s="601">
        <v>35110</v>
      </c>
      <c r="C373" s="601" t="s">
        <v>45</v>
      </c>
      <c r="D373" s="601">
        <v>5</v>
      </c>
      <c r="E373" s="624" t="s">
        <v>431</v>
      </c>
    </row>
    <row r="374" spans="1:6" x14ac:dyDescent="0.2">
      <c r="A374" s="601" t="str">
        <f t="shared" si="8"/>
        <v>INDEC-PB - 46212-1</v>
      </c>
      <c r="B374" s="601">
        <v>46212</v>
      </c>
      <c r="C374" s="601" t="s">
        <v>45</v>
      </c>
      <c r="D374" s="601">
        <v>1</v>
      </c>
      <c r="E374" s="624" t="s">
        <v>432</v>
      </c>
    </row>
    <row r="375" spans="1:6" x14ac:dyDescent="0.2">
      <c r="A375" s="606" t="str">
        <f t="shared" si="8"/>
        <v>INDEC-PB - 33340-1</v>
      </c>
      <c r="B375" s="606">
        <v>33340</v>
      </c>
      <c r="C375" s="606" t="s">
        <v>45</v>
      </c>
      <c r="D375" s="606">
        <v>1</v>
      </c>
      <c r="E375" s="625" t="s">
        <v>433</v>
      </c>
      <c r="F375" s="600" t="s">
        <v>2038</v>
      </c>
    </row>
    <row r="376" spans="1:6" x14ac:dyDescent="0.2">
      <c r="A376" s="601" t="str">
        <f t="shared" si="8"/>
        <v>INDEC-PB - 37350-1</v>
      </c>
      <c r="B376" s="601">
        <v>37350</v>
      </c>
      <c r="C376" s="601" t="s">
        <v>45</v>
      </c>
      <c r="D376" s="601">
        <v>1</v>
      </c>
      <c r="E376" s="624" t="s">
        <v>434</v>
      </c>
    </row>
    <row r="377" spans="1:6" x14ac:dyDescent="0.2">
      <c r="A377" s="601" t="str">
        <f t="shared" si="8"/>
        <v>INDEC-PB - 37320-1</v>
      </c>
      <c r="B377" s="601">
        <v>37320</v>
      </c>
      <c r="C377" s="601" t="s">
        <v>45</v>
      </c>
      <c r="D377" s="601">
        <v>1</v>
      </c>
      <c r="E377" s="624" t="s">
        <v>435</v>
      </c>
    </row>
    <row r="378" spans="1:6" x14ac:dyDescent="0.2">
      <c r="A378" s="601" t="str">
        <f t="shared" si="8"/>
        <v>INDEC-PB - 41532-11</v>
      </c>
      <c r="B378" s="601">
        <v>41532</v>
      </c>
      <c r="C378" s="601" t="s">
        <v>45</v>
      </c>
      <c r="D378" s="601">
        <v>11</v>
      </c>
      <c r="E378" s="624" t="s">
        <v>436</v>
      </c>
    </row>
    <row r="379" spans="1:6" x14ac:dyDescent="0.2">
      <c r="A379" s="601" t="str">
        <f t="shared" si="8"/>
        <v>INDEC-PB - 41532-1</v>
      </c>
      <c r="B379" s="601">
        <v>41532</v>
      </c>
      <c r="C379" s="601" t="s">
        <v>45</v>
      </c>
      <c r="D379" s="601">
        <v>1</v>
      </c>
      <c r="E379" s="624" t="s">
        <v>437</v>
      </c>
    </row>
    <row r="380" spans="1:6" x14ac:dyDescent="0.2">
      <c r="A380" s="601" t="str">
        <f t="shared" si="8"/>
        <v>INDEC-PB - 31430-1</v>
      </c>
      <c r="B380" s="601">
        <v>31430</v>
      </c>
      <c r="C380" s="601" t="s">
        <v>45</v>
      </c>
      <c r="D380" s="601">
        <v>1</v>
      </c>
      <c r="E380" s="624" t="s">
        <v>438</v>
      </c>
    </row>
    <row r="381" spans="1:6" x14ac:dyDescent="0.2">
      <c r="A381" s="601" t="str">
        <f t="shared" si="8"/>
        <v>INDEC-PB - 31100-1</v>
      </c>
      <c r="B381" s="601">
        <v>31100</v>
      </c>
      <c r="C381" s="601" t="s">
        <v>45</v>
      </c>
      <c r="D381" s="601">
        <v>1</v>
      </c>
      <c r="E381" s="624" t="s">
        <v>439</v>
      </c>
    </row>
    <row r="382" spans="1:6" x14ac:dyDescent="0.2">
      <c r="A382" s="601" t="str">
        <f t="shared" si="8"/>
        <v>INDEC-PB - 31420-1</v>
      </c>
      <c r="B382" s="601">
        <v>31420</v>
      </c>
      <c r="C382" s="601" t="s">
        <v>45</v>
      </c>
      <c r="D382" s="601">
        <v>1</v>
      </c>
      <c r="E382" s="624" t="s">
        <v>440</v>
      </c>
    </row>
    <row r="383" spans="1:6" x14ac:dyDescent="0.2">
      <c r="A383" s="601" t="str">
        <f t="shared" si="8"/>
        <v>INDEC-PB - 31420-2</v>
      </c>
      <c r="B383" s="601">
        <v>31420</v>
      </c>
      <c r="C383" s="601" t="s">
        <v>45</v>
      </c>
      <c r="D383" s="601">
        <v>2</v>
      </c>
      <c r="E383" s="624" t="s">
        <v>441</v>
      </c>
    </row>
    <row r="384" spans="1:6" x14ac:dyDescent="0.2">
      <c r="A384" s="606" t="str">
        <f t="shared" si="8"/>
        <v>INDEC-PB - 44222-1</v>
      </c>
      <c r="B384" s="606">
        <v>44222</v>
      </c>
      <c r="C384" s="606" t="s">
        <v>45</v>
      </c>
      <c r="D384" s="606">
        <v>1</v>
      </c>
      <c r="E384" s="625" t="s">
        <v>442</v>
      </c>
      <c r="F384" s="600" t="s">
        <v>2038</v>
      </c>
    </row>
    <row r="385" spans="1:6" x14ac:dyDescent="0.2">
      <c r="A385" s="606" t="str">
        <f t="shared" si="8"/>
        <v>INDEC-PB - 44427-1</v>
      </c>
      <c r="B385" s="606">
        <v>44427</v>
      </c>
      <c r="C385" s="606" t="s">
        <v>45</v>
      </c>
      <c r="D385" s="606">
        <v>1</v>
      </c>
      <c r="E385" s="625" t="s">
        <v>443</v>
      </c>
      <c r="F385" s="600" t="s">
        <v>2038</v>
      </c>
    </row>
    <row r="386" spans="1:6" x14ac:dyDescent="0.2">
      <c r="A386" s="601" t="str">
        <f t="shared" si="8"/>
        <v>INDEC-PB - 44430-1</v>
      </c>
      <c r="B386" s="601">
        <v>44430</v>
      </c>
      <c r="C386" s="601" t="s">
        <v>45</v>
      </c>
      <c r="D386" s="601">
        <v>1</v>
      </c>
      <c r="E386" s="624" t="s">
        <v>444</v>
      </c>
    </row>
    <row r="387" spans="1:6" x14ac:dyDescent="0.2">
      <c r="A387" s="601" t="str">
        <f t="shared" si="8"/>
        <v>INDEC-PB - 37930-1</v>
      </c>
      <c r="B387" s="601">
        <v>37930</v>
      </c>
      <c r="C387" s="601" t="s">
        <v>45</v>
      </c>
      <c r="D387" s="601">
        <v>1</v>
      </c>
      <c r="E387" s="624" t="s">
        <v>445</v>
      </c>
    </row>
    <row r="388" spans="1:6" x14ac:dyDescent="0.2">
      <c r="A388" s="601" t="str">
        <f t="shared" si="8"/>
        <v>INDEC-PB - 37330-1</v>
      </c>
      <c r="B388" s="601">
        <v>37330</v>
      </c>
      <c r="C388" s="601" t="s">
        <v>45</v>
      </c>
      <c r="D388" s="601">
        <v>1</v>
      </c>
      <c r="E388" s="624" t="s">
        <v>446</v>
      </c>
    </row>
    <row r="389" spans="1:6" x14ac:dyDescent="0.2">
      <c r="A389" s="601" t="str">
        <f t="shared" si="8"/>
        <v>INDEC-PB - 37540-1</v>
      </c>
      <c r="B389" s="601">
        <v>37540</v>
      </c>
      <c r="C389" s="601" t="s">
        <v>45</v>
      </c>
      <c r="D389" s="601">
        <v>1</v>
      </c>
      <c r="E389" s="624" t="s">
        <v>447</v>
      </c>
    </row>
    <row r="390" spans="1:6" x14ac:dyDescent="0.2">
      <c r="A390" s="601" t="str">
        <f t="shared" si="8"/>
        <v>INDEC-PB - 43121-1</v>
      </c>
      <c r="B390" s="601">
        <v>43121</v>
      </c>
      <c r="C390" s="601" t="s">
        <v>45</v>
      </c>
      <c r="D390" s="601">
        <v>1</v>
      </c>
      <c r="E390" s="624" t="s">
        <v>448</v>
      </c>
    </row>
    <row r="391" spans="1:6" x14ac:dyDescent="0.2">
      <c r="A391" s="601" t="str">
        <f t="shared" si="8"/>
        <v>INDEC-PB - 46112-1</v>
      </c>
      <c r="B391" s="601">
        <v>46112</v>
      </c>
      <c r="C391" s="601" t="s">
        <v>45</v>
      </c>
      <c r="D391" s="601">
        <v>1</v>
      </c>
      <c r="E391" s="624" t="s">
        <v>449</v>
      </c>
    </row>
    <row r="392" spans="1:6" x14ac:dyDescent="0.2">
      <c r="A392" s="606" t="str">
        <f t="shared" si="8"/>
        <v>INDEC-PB - 43122-1</v>
      </c>
      <c r="B392" s="606">
        <v>43122</v>
      </c>
      <c r="C392" s="606" t="s">
        <v>45</v>
      </c>
      <c r="D392" s="606">
        <v>1</v>
      </c>
      <c r="E392" s="625" t="s">
        <v>450</v>
      </c>
      <c r="F392" s="600" t="s">
        <v>2038</v>
      </c>
    </row>
    <row r="393" spans="1:6" x14ac:dyDescent="0.2">
      <c r="A393" s="601" t="str">
        <f t="shared" si="8"/>
        <v>INDEC-PB - 49911-1</v>
      </c>
      <c r="B393" s="601">
        <v>49911</v>
      </c>
      <c r="C393" s="601" t="s">
        <v>45</v>
      </c>
      <c r="D393" s="601">
        <v>1</v>
      </c>
      <c r="E393" s="624" t="s">
        <v>451</v>
      </c>
    </row>
    <row r="394" spans="1:6" x14ac:dyDescent="0.2">
      <c r="A394" s="601" t="str">
        <f t="shared" si="8"/>
        <v>INDEC-PB - 33310-1</v>
      </c>
      <c r="B394" s="601">
        <v>33310</v>
      </c>
      <c r="C394" s="601" t="s">
        <v>45</v>
      </c>
      <c r="D394" s="601">
        <v>1</v>
      </c>
      <c r="E394" s="624" t="s">
        <v>452</v>
      </c>
    </row>
    <row r="395" spans="1:6" x14ac:dyDescent="0.2">
      <c r="A395" s="601" t="str">
        <f t="shared" si="8"/>
        <v>INDEC-PB - 32129-1</v>
      </c>
      <c r="B395" s="601">
        <v>32129</v>
      </c>
      <c r="C395" s="601" t="s">
        <v>45</v>
      </c>
      <c r="D395" s="601">
        <v>1</v>
      </c>
      <c r="E395" s="624" t="s">
        <v>453</v>
      </c>
    </row>
    <row r="396" spans="1:6" x14ac:dyDescent="0.2">
      <c r="A396" s="601" t="str">
        <f t="shared" si="8"/>
        <v>INDEC-PB - 37990-2</v>
      </c>
      <c r="B396" s="601">
        <v>37990</v>
      </c>
      <c r="C396" s="601" t="s">
        <v>45</v>
      </c>
      <c r="D396" s="601">
        <v>2</v>
      </c>
      <c r="E396" s="624" t="s">
        <v>454</v>
      </c>
    </row>
    <row r="397" spans="1:6" x14ac:dyDescent="0.2">
      <c r="A397" s="601" t="str">
        <f t="shared" si="8"/>
        <v>INDEC-PB - 41251-1</v>
      </c>
      <c r="B397" s="601">
        <v>41251</v>
      </c>
      <c r="C397" s="601" t="s">
        <v>45</v>
      </c>
      <c r="D397" s="601">
        <v>1</v>
      </c>
      <c r="E397" s="624" t="s">
        <v>455</v>
      </c>
    </row>
    <row r="398" spans="1:6" x14ac:dyDescent="0.2">
      <c r="A398" s="601" t="str">
        <f t="shared" si="8"/>
        <v>INDEC-PB - 12010-1</v>
      </c>
      <c r="B398" s="601">
        <v>12010</v>
      </c>
      <c r="C398" s="601" t="s">
        <v>45</v>
      </c>
      <c r="D398" s="601">
        <v>1</v>
      </c>
      <c r="E398" s="624" t="s">
        <v>456</v>
      </c>
    </row>
    <row r="399" spans="1:6" x14ac:dyDescent="0.2">
      <c r="A399" s="601" t="str">
        <f t="shared" si="8"/>
        <v>INDEC-PB - 15320-1</v>
      </c>
      <c r="B399" s="601">
        <v>15320</v>
      </c>
      <c r="C399" s="601" t="s">
        <v>45</v>
      </c>
      <c r="D399" s="601">
        <v>1</v>
      </c>
      <c r="E399" s="624" t="s">
        <v>457</v>
      </c>
    </row>
    <row r="400" spans="1:6" x14ac:dyDescent="0.2">
      <c r="A400" s="601" t="str">
        <f t="shared" si="8"/>
        <v>INDEC-PB - 41116-1</v>
      </c>
      <c r="B400" s="601">
        <v>41116</v>
      </c>
      <c r="C400" s="601" t="s">
        <v>45</v>
      </c>
      <c r="D400" s="601">
        <v>1</v>
      </c>
      <c r="E400" s="624" t="s">
        <v>458</v>
      </c>
    </row>
    <row r="401" spans="1:6" x14ac:dyDescent="0.2">
      <c r="A401" s="601" t="str">
        <f t="shared" si="8"/>
        <v>INDEC-PB - 42999-1</v>
      </c>
      <c r="B401" s="601">
        <v>42999</v>
      </c>
      <c r="C401" s="601" t="s">
        <v>45</v>
      </c>
      <c r="D401" s="601">
        <v>1</v>
      </c>
      <c r="E401" s="624" t="s">
        <v>459</v>
      </c>
    </row>
    <row r="402" spans="1:6" x14ac:dyDescent="0.2">
      <c r="A402" s="601" t="str">
        <f t="shared" si="8"/>
        <v>INDEC-PB - 35110-3</v>
      </c>
      <c r="B402" s="601">
        <v>35110</v>
      </c>
      <c r="C402" s="601" t="s">
        <v>45</v>
      </c>
      <c r="D402" s="601">
        <v>3</v>
      </c>
      <c r="E402" s="624" t="s">
        <v>460</v>
      </c>
    </row>
    <row r="403" spans="1:6" x14ac:dyDescent="0.2">
      <c r="A403" s="601" t="str">
        <f t="shared" si="8"/>
        <v>INDEC-PB - 34740-6</v>
      </c>
      <c r="B403" s="601">
        <v>34740</v>
      </c>
      <c r="C403" s="601" t="s">
        <v>45</v>
      </c>
      <c r="D403" s="601">
        <v>6</v>
      </c>
      <c r="E403" s="624" t="s">
        <v>461</v>
      </c>
    </row>
    <row r="404" spans="1:6" x14ac:dyDescent="0.2">
      <c r="A404" s="601" t="str">
        <f t="shared" si="8"/>
        <v>INDEC-PB - 34730-1</v>
      </c>
      <c r="B404" s="601">
        <v>34730</v>
      </c>
      <c r="C404" s="601" t="s">
        <v>45</v>
      </c>
      <c r="D404" s="601">
        <v>1</v>
      </c>
      <c r="E404" s="624" t="s">
        <v>462</v>
      </c>
    </row>
    <row r="405" spans="1:6" x14ac:dyDescent="0.2">
      <c r="A405" s="606" t="str">
        <f t="shared" si="8"/>
        <v>INDEC-PB - 34720-1</v>
      </c>
      <c r="B405" s="606">
        <v>34720</v>
      </c>
      <c r="C405" s="606" t="s">
        <v>45</v>
      </c>
      <c r="D405" s="606">
        <v>1</v>
      </c>
      <c r="E405" s="625" t="s">
        <v>463</v>
      </c>
      <c r="F405" s="600" t="s">
        <v>2038</v>
      </c>
    </row>
    <row r="406" spans="1:6" x14ac:dyDescent="0.2">
      <c r="A406" s="601" t="str">
        <f t="shared" si="8"/>
        <v>INDEC-PB - 34710-1</v>
      </c>
      <c r="B406" s="601">
        <v>34710</v>
      </c>
      <c r="C406" s="601" t="s">
        <v>45</v>
      </c>
      <c r="D406" s="601">
        <v>1</v>
      </c>
      <c r="E406" s="624" t="s">
        <v>464</v>
      </c>
    </row>
    <row r="407" spans="1:6" x14ac:dyDescent="0.2">
      <c r="A407" s="601" t="str">
        <f t="shared" si="8"/>
        <v>INDEC-PB - 41530-1</v>
      </c>
      <c r="B407" s="601">
        <v>41530</v>
      </c>
      <c r="C407" s="601" t="s">
        <v>45</v>
      </c>
      <c r="D407" s="601">
        <v>1</v>
      </c>
      <c r="E407" s="624" t="s">
        <v>465</v>
      </c>
    </row>
    <row r="408" spans="1:6" x14ac:dyDescent="0.2">
      <c r="A408" s="601" t="str">
        <f t="shared" si="8"/>
        <v>INDEC-PB - 41510-1</v>
      </c>
      <c r="B408" s="601">
        <v>41510</v>
      </c>
      <c r="C408" s="601" t="s">
        <v>45</v>
      </c>
      <c r="D408" s="601">
        <v>1</v>
      </c>
      <c r="E408" s="624" t="s">
        <v>466</v>
      </c>
    </row>
    <row r="409" spans="1:6" x14ac:dyDescent="0.2">
      <c r="A409" s="601" t="str">
        <f t="shared" si="8"/>
        <v>INDEC-PB - 31600-2</v>
      </c>
      <c r="B409" s="601">
        <v>31600</v>
      </c>
      <c r="C409" s="601" t="s">
        <v>45</v>
      </c>
      <c r="D409" s="601">
        <v>2</v>
      </c>
      <c r="E409" s="624" t="s">
        <v>467</v>
      </c>
    </row>
    <row r="410" spans="1:6" x14ac:dyDescent="0.2">
      <c r="A410" s="601" t="str">
        <f t="shared" si="8"/>
        <v>INDEC-PB - 49129-2</v>
      </c>
      <c r="B410" s="601">
        <v>49129</v>
      </c>
      <c r="C410" s="601" t="s">
        <v>45</v>
      </c>
      <c r="D410" s="601">
        <v>2</v>
      </c>
      <c r="E410" s="624" t="s">
        <v>468</v>
      </c>
    </row>
    <row r="411" spans="1:6" x14ac:dyDescent="0.2">
      <c r="A411" s="601" t="str">
        <f t="shared" si="8"/>
        <v>INDEC-PB - 34740-1</v>
      </c>
      <c r="B411" s="601">
        <v>34740</v>
      </c>
      <c r="C411" s="601" t="s">
        <v>45</v>
      </c>
      <c r="D411" s="601">
        <v>1</v>
      </c>
      <c r="E411" s="624" t="s">
        <v>469</v>
      </c>
    </row>
    <row r="412" spans="1:6" x14ac:dyDescent="0.2">
      <c r="A412" s="606" t="str">
        <f t="shared" si="8"/>
        <v>INDEC-PB - 43310-1</v>
      </c>
      <c r="B412" s="606">
        <v>43310</v>
      </c>
      <c r="C412" s="606" t="s">
        <v>45</v>
      </c>
      <c r="D412" s="606">
        <v>1</v>
      </c>
      <c r="E412" s="625" t="s">
        <v>470</v>
      </c>
      <c r="F412" s="600" t="s">
        <v>2038</v>
      </c>
    </row>
    <row r="413" spans="1:6" x14ac:dyDescent="0.2">
      <c r="A413" s="601" t="str">
        <f t="shared" si="8"/>
        <v>INDEC-PB - 44240-1</v>
      </c>
      <c r="B413" s="601">
        <v>44240</v>
      </c>
      <c r="C413" s="601" t="s">
        <v>45</v>
      </c>
      <c r="D413" s="601">
        <v>1</v>
      </c>
      <c r="E413" s="624" t="s">
        <v>471</v>
      </c>
    </row>
    <row r="414" spans="1:6" x14ac:dyDescent="0.2">
      <c r="A414" s="601" t="str">
        <f t="shared" si="8"/>
        <v>INDEC-PB - 33500-1</v>
      </c>
      <c r="B414" s="601">
        <v>33500</v>
      </c>
      <c r="C414" s="601" t="s">
        <v>45</v>
      </c>
      <c r="D414" s="601">
        <v>1</v>
      </c>
      <c r="E414" s="624" t="s">
        <v>472</v>
      </c>
    </row>
    <row r="415" spans="1:6" x14ac:dyDescent="0.2">
      <c r="A415" s="601" t="str">
        <f t="shared" si="8"/>
        <v>INDEC-PB - 44214-1</v>
      </c>
      <c r="B415" s="601">
        <v>44214</v>
      </c>
      <c r="C415" s="601" t="s">
        <v>45</v>
      </c>
      <c r="D415" s="601">
        <v>1</v>
      </c>
      <c r="E415" s="624" t="s">
        <v>473</v>
      </c>
    </row>
    <row r="416" spans="1:6" x14ac:dyDescent="0.2">
      <c r="A416" s="601" t="str">
        <f t="shared" si="8"/>
        <v>INDEC-PB - 37350-2</v>
      </c>
      <c r="B416" s="601">
        <v>37350</v>
      </c>
      <c r="C416" s="601" t="s">
        <v>45</v>
      </c>
      <c r="D416" s="601">
        <v>2</v>
      </c>
      <c r="E416" s="624" t="s">
        <v>474</v>
      </c>
    </row>
    <row r="417" spans="1:6" x14ac:dyDescent="0.2">
      <c r="A417" s="601" t="str">
        <f t="shared" si="8"/>
        <v>INDEC-PB - 42943-1</v>
      </c>
      <c r="B417" s="601">
        <v>42943</v>
      </c>
      <c r="C417" s="601" t="s">
        <v>45</v>
      </c>
      <c r="D417" s="601">
        <v>1</v>
      </c>
      <c r="E417" s="624" t="s">
        <v>475</v>
      </c>
    </row>
    <row r="418" spans="1:6" x14ac:dyDescent="0.2">
      <c r="A418" s="601" t="str">
        <f t="shared" si="8"/>
        <v>INDEC-PB - 36990-1</v>
      </c>
      <c r="B418" s="601">
        <v>36990</v>
      </c>
      <c r="C418" s="601" t="s">
        <v>45</v>
      </c>
      <c r="D418" s="601">
        <v>1</v>
      </c>
      <c r="E418" s="624" t="s">
        <v>476</v>
      </c>
    </row>
    <row r="419" spans="1:6" x14ac:dyDescent="0.2">
      <c r="A419" s="601" t="str">
        <f t="shared" si="8"/>
        <v>INDEC-PB - 46121-1</v>
      </c>
      <c r="B419" s="601">
        <v>46121</v>
      </c>
      <c r="C419" s="601" t="s">
        <v>45</v>
      </c>
      <c r="D419" s="601">
        <v>1</v>
      </c>
      <c r="E419" s="624" t="s">
        <v>477</v>
      </c>
    </row>
    <row r="420" spans="1:6" x14ac:dyDescent="0.2">
      <c r="A420" s="601" t="str">
        <f t="shared" si="8"/>
        <v>INDEC-PB - 49115-1</v>
      </c>
      <c r="B420" s="601">
        <v>49115</v>
      </c>
      <c r="C420" s="601" t="s">
        <v>45</v>
      </c>
      <c r="D420" s="601">
        <v>1</v>
      </c>
      <c r="E420" s="624" t="s">
        <v>478</v>
      </c>
    </row>
    <row r="421" spans="1:6" x14ac:dyDescent="0.2">
      <c r="A421" s="606" t="str">
        <f t="shared" si="8"/>
        <v>INDEC-PB - 37113-1</v>
      </c>
      <c r="B421" s="606">
        <v>37113</v>
      </c>
      <c r="C421" s="606" t="s">
        <v>45</v>
      </c>
      <c r="D421" s="606">
        <v>1</v>
      </c>
      <c r="E421" s="625" t="s">
        <v>479</v>
      </c>
      <c r="F421" s="600" t="s">
        <v>2038</v>
      </c>
    </row>
    <row r="422" spans="1:6" x14ac:dyDescent="0.2">
      <c r="A422" s="606" t="str">
        <f t="shared" si="8"/>
        <v>INDEC-PB - 37199-3</v>
      </c>
      <c r="B422" s="606">
        <v>37199</v>
      </c>
      <c r="C422" s="606" t="s">
        <v>45</v>
      </c>
      <c r="D422" s="606">
        <v>3</v>
      </c>
      <c r="E422" s="625" t="s">
        <v>480</v>
      </c>
      <c r="F422" s="600" t="s">
        <v>2038</v>
      </c>
    </row>
    <row r="423" spans="1:6" x14ac:dyDescent="0.2">
      <c r="A423" s="606" t="str">
        <f t="shared" si="8"/>
        <v>INDEC-PB - 37199-1</v>
      </c>
      <c r="B423" s="606">
        <v>37199</v>
      </c>
      <c r="C423" s="606" t="s">
        <v>45</v>
      </c>
      <c r="D423" s="606">
        <v>1</v>
      </c>
      <c r="E423" s="625" t="s">
        <v>481</v>
      </c>
      <c r="F423" s="600" t="s">
        <v>2038</v>
      </c>
    </row>
    <row r="424" spans="1:6" x14ac:dyDescent="0.2">
      <c r="A424" s="606" t="str">
        <f t="shared" si="8"/>
        <v>INDEC-PB - 37199-2</v>
      </c>
      <c r="B424" s="606">
        <v>37199</v>
      </c>
      <c r="C424" s="606" t="s">
        <v>45</v>
      </c>
      <c r="D424" s="606">
        <v>2</v>
      </c>
      <c r="E424" s="625" t="s">
        <v>482</v>
      </c>
      <c r="F424" s="600" t="s">
        <v>2038</v>
      </c>
    </row>
    <row r="425" spans="1:6" x14ac:dyDescent="0.2">
      <c r="A425" s="601" t="str">
        <f t="shared" si="8"/>
        <v>INDEC-PB - 15200-1</v>
      </c>
      <c r="B425" s="601">
        <v>15200</v>
      </c>
      <c r="C425" s="601" t="s">
        <v>45</v>
      </c>
      <c r="D425" s="601">
        <v>1</v>
      </c>
      <c r="E425" s="624" t="s">
        <v>483</v>
      </c>
    </row>
    <row r="426" spans="1:6" x14ac:dyDescent="0.2">
      <c r="A426" s="626"/>
      <c r="E426" s="627"/>
    </row>
    <row r="427" spans="1:6" x14ac:dyDescent="0.2">
      <c r="A427" s="628"/>
      <c r="E427" s="627" t="s">
        <v>484</v>
      </c>
    </row>
    <row r="428" spans="1:6" x14ac:dyDescent="0.2">
      <c r="A428" s="601" t="str">
        <f t="shared" ref="A428:A445" si="9">CONCATENATE("INDEC-PB - ",B428,C428,D428)</f>
        <v>INDEC-PB - 94920-1</v>
      </c>
      <c r="B428" s="601">
        <v>94920</v>
      </c>
      <c r="C428" s="601" t="s">
        <v>45</v>
      </c>
      <c r="D428" s="601">
        <v>1</v>
      </c>
      <c r="E428" s="624" t="s">
        <v>485</v>
      </c>
    </row>
    <row r="429" spans="1:6" x14ac:dyDescent="0.2">
      <c r="A429" s="601" t="str">
        <f t="shared" si="9"/>
        <v>INDEC-PB - 91223-1</v>
      </c>
      <c r="B429" s="601">
        <v>91223</v>
      </c>
      <c r="C429" s="601" t="s">
        <v>45</v>
      </c>
      <c r="D429" s="601">
        <v>1</v>
      </c>
      <c r="E429" s="624" t="s">
        <v>486</v>
      </c>
    </row>
    <row r="430" spans="1:6" x14ac:dyDescent="0.2">
      <c r="A430" s="601" t="str">
        <f t="shared" si="9"/>
        <v>INDEC-PB - 91211-11</v>
      </c>
      <c r="B430" s="601">
        <v>91211</v>
      </c>
      <c r="C430" s="601" t="s">
        <v>45</v>
      </c>
      <c r="D430" s="601">
        <v>11</v>
      </c>
      <c r="E430" s="624" t="s">
        <v>487</v>
      </c>
    </row>
    <row r="431" spans="1:6" x14ac:dyDescent="0.2">
      <c r="A431" s="601" t="str">
        <f t="shared" si="9"/>
        <v>INDEC-PB - 91211-1</v>
      </c>
      <c r="B431" s="601">
        <v>91211</v>
      </c>
      <c r="C431" s="601" t="s">
        <v>45</v>
      </c>
      <c r="D431" s="601">
        <v>1</v>
      </c>
      <c r="E431" s="624" t="s">
        <v>488</v>
      </c>
    </row>
    <row r="432" spans="1:6" x14ac:dyDescent="0.2">
      <c r="A432" s="606" t="str">
        <f t="shared" si="9"/>
        <v>INDEC-PB - 91511-1</v>
      </c>
      <c r="B432" s="606">
        <v>91511</v>
      </c>
      <c r="C432" s="606" t="s">
        <v>45</v>
      </c>
      <c r="D432" s="606">
        <v>1</v>
      </c>
      <c r="E432" s="625" t="s">
        <v>489</v>
      </c>
      <c r="F432" s="600" t="s">
        <v>2038</v>
      </c>
    </row>
    <row r="433" spans="1:6" x14ac:dyDescent="0.2">
      <c r="A433" s="601" t="str">
        <f t="shared" si="9"/>
        <v>INDEC-PB - 91547-1</v>
      </c>
      <c r="B433" s="601">
        <v>91547</v>
      </c>
      <c r="C433" s="601" t="s">
        <v>45</v>
      </c>
      <c r="D433" s="601">
        <v>1</v>
      </c>
      <c r="E433" s="624" t="s">
        <v>490</v>
      </c>
    </row>
    <row r="434" spans="1:6" x14ac:dyDescent="0.2">
      <c r="A434" s="601" t="str">
        <f t="shared" si="9"/>
        <v>INDEC-PB - 81100-1</v>
      </c>
      <c r="B434" s="601">
        <v>81100</v>
      </c>
      <c r="C434" s="601" t="s">
        <v>45</v>
      </c>
      <c r="D434" s="601">
        <v>1</v>
      </c>
      <c r="E434" s="624" t="s">
        <v>491</v>
      </c>
    </row>
    <row r="435" spans="1:6" x14ac:dyDescent="0.2">
      <c r="A435" s="606" t="str">
        <f t="shared" si="9"/>
        <v>INDEC-PB - 91601-2</v>
      </c>
      <c r="B435" s="606">
        <v>91601</v>
      </c>
      <c r="C435" s="606" t="s">
        <v>45</v>
      </c>
      <c r="D435" s="606">
        <v>2</v>
      </c>
      <c r="E435" s="625" t="s">
        <v>492</v>
      </c>
      <c r="F435" s="600" t="s">
        <v>2038</v>
      </c>
    </row>
    <row r="436" spans="1:6" x14ac:dyDescent="0.2">
      <c r="A436" s="601" t="str">
        <f t="shared" si="9"/>
        <v>INDEC-PB - 94214-1</v>
      </c>
      <c r="B436" s="601">
        <v>94214</v>
      </c>
      <c r="C436" s="601" t="s">
        <v>45</v>
      </c>
      <c r="D436" s="601">
        <v>1</v>
      </c>
      <c r="E436" s="624" t="s">
        <v>493</v>
      </c>
    </row>
    <row r="437" spans="1:6" x14ac:dyDescent="0.2">
      <c r="A437" s="601" t="str">
        <f t="shared" si="9"/>
        <v>INDEC-PB - 94216-1</v>
      </c>
      <c r="B437" s="601">
        <v>94216</v>
      </c>
      <c r="C437" s="601" t="s">
        <v>45</v>
      </c>
      <c r="D437" s="601">
        <v>1</v>
      </c>
      <c r="E437" s="624" t="s">
        <v>494</v>
      </c>
    </row>
    <row r="438" spans="1:6" x14ac:dyDescent="0.2">
      <c r="A438" s="606" t="str">
        <f t="shared" si="9"/>
        <v>INDEC-PB - 93310-2</v>
      </c>
      <c r="B438" s="606">
        <v>93310</v>
      </c>
      <c r="C438" s="606" t="s">
        <v>45</v>
      </c>
      <c r="D438" s="606">
        <v>2</v>
      </c>
      <c r="E438" s="625" t="s">
        <v>495</v>
      </c>
      <c r="F438" s="600" t="s">
        <v>2038</v>
      </c>
    </row>
    <row r="439" spans="1:6" x14ac:dyDescent="0.2">
      <c r="A439" s="601" t="str">
        <f t="shared" si="9"/>
        <v>INDEC-PB - 82129-1</v>
      </c>
      <c r="B439" s="601">
        <v>82129</v>
      </c>
      <c r="C439" s="601" t="s">
        <v>45</v>
      </c>
      <c r="D439" s="601">
        <v>1</v>
      </c>
      <c r="E439" s="624" t="s">
        <v>496</v>
      </c>
    </row>
    <row r="440" spans="1:6" x14ac:dyDescent="0.2">
      <c r="A440" s="606" t="str">
        <f t="shared" si="9"/>
        <v>INDEC-PB - 91251-1</v>
      </c>
      <c r="B440" s="606">
        <v>91251</v>
      </c>
      <c r="C440" s="606" t="s">
        <v>45</v>
      </c>
      <c r="D440" s="606">
        <v>1</v>
      </c>
      <c r="E440" s="625" t="s">
        <v>497</v>
      </c>
      <c r="F440" s="600" t="s">
        <v>2038</v>
      </c>
    </row>
    <row r="441" spans="1:6" x14ac:dyDescent="0.2">
      <c r="A441" s="601" t="str">
        <f t="shared" si="9"/>
        <v>INDEC-PB - 93310-1</v>
      </c>
      <c r="B441" s="601">
        <v>93310</v>
      </c>
      <c r="C441" s="601" t="s">
        <v>45</v>
      </c>
      <c r="D441" s="601">
        <v>1</v>
      </c>
      <c r="E441" s="624" t="s">
        <v>498</v>
      </c>
    </row>
    <row r="442" spans="1:6" x14ac:dyDescent="0.2">
      <c r="A442" s="606" t="str">
        <f t="shared" si="9"/>
        <v>INDEC-PB - 84710-1</v>
      </c>
      <c r="B442" s="606">
        <v>84710</v>
      </c>
      <c r="C442" s="606" t="s">
        <v>45</v>
      </c>
      <c r="D442" s="606">
        <v>1</v>
      </c>
      <c r="E442" s="625" t="s">
        <v>499</v>
      </c>
      <c r="F442" s="600" t="s">
        <v>2038</v>
      </c>
    </row>
    <row r="443" spans="1:6" x14ac:dyDescent="0.2">
      <c r="A443" s="606" t="str">
        <f t="shared" si="9"/>
        <v>INDEC-PB - 84740-1</v>
      </c>
      <c r="B443" s="606">
        <v>84740</v>
      </c>
      <c r="C443" s="606" t="s">
        <v>45</v>
      </c>
      <c r="D443" s="606">
        <v>1</v>
      </c>
      <c r="E443" s="625" t="s">
        <v>500</v>
      </c>
      <c r="F443" s="600" t="s">
        <v>2038</v>
      </c>
    </row>
    <row r="444" spans="1:6" x14ac:dyDescent="0.2">
      <c r="A444" s="606" t="str">
        <f t="shared" si="9"/>
        <v>INDEC-PB - 84230-1</v>
      </c>
      <c r="B444" s="606">
        <v>84230</v>
      </c>
      <c r="C444" s="606" t="s">
        <v>45</v>
      </c>
      <c r="D444" s="606">
        <v>1</v>
      </c>
      <c r="E444" s="625" t="s">
        <v>501</v>
      </c>
      <c r="F444" s="600" t="s">
        <v>2038</v>
      </c>
    </row>
    <row r="445" spans="1:6" x14ac:dyDescent="0.2">
      <c r="A445" s="601" t="str">
        <f t="shared" si="9"/>
        <v>INDEC-PB - 85490-1</v>
      </c>
      <c r="B445" s="601">
        <v>85490</v>
      </c>
      <c r="C445" s="601" t="s">
        <v>45</v>
      </c>
      <c r="D445" s="601">
        <v>1</v>
      </c>
      <c r="E445" s="624" t="s">
        <v>502</v>
      </c>
    </row>
    <row r="448" spans="1:6" x14ac:dyDescent="0.2">
      <c r="A448" s="624"/>
      <c r="B448" s="599" t="s">
        <v>504</v>
      </c>
      <c r="C448" s="20"/>
      <c r="D448" s="20"/>
    </row>
    <row r="449" spans="1:5" x14ac:dyDescent="0.2">
      <c r="A449" s="624"/>
      <c r="B449" s="609"/>
      <c r="C449" s="20"/>
      <c r="D449" s="20"/>
    </row>
    <row r="450" spans="1:5" x14ac:dyDescent="0.2">
      <c r="A450" s="865" t="s">
        <v>343</v>
      </c>
      <c r="B450" s="865" t="s">
        <v>505</v>
      </c>
      <c r="C450" s="865"/>
      <c r="D450" s="865"/>
      <c r="E450" s="865" t="s">
        <v>43</v>
      </c>
    </row>
    <row r="451" spans="1:5" x14ac:dyDescent="0.2">
      <c r="A451" s="865"/>
      <c r="B451" s="865" t="s">
        <v>506</v>
      </c>
      <c r="C451" s="865"/>
      <c r="D451" s="865"/>
      <c r="E451" s="865"/>
    </row>
    <row r="452" spans="1:5" x14ac:dyDescent="0.2">
      <c r="B452" s="18"/>
      <c r="C452" s="20"/>
      <c r="D452" s="20"/>
      <c r="E452" s="629"/>
    </row>
    <row r="453" spans="1:5" x14ac:dyDescent="0.2">
      <c r="B453" s="18"/>
      <c r="C453" s="20"/>
      <c r="D453" s="20"/>
      <c r="E453" s="627" t="s">
        <v>507</v>
      </c>
    </row>
    <row r="454" spans="1:5" x14ac:dyDescent="0.2">
      <c r="A454" s="601" t="str">
        <f t="shared" ref="A454:A474" si="10">CONCATENATE("INDEC-PB - ",B454,C454,D454)</f>
        <v>INDEC-PB - 2811-1</v>
      </c>
      <c r="B454" s="20">
        <v>2811</v>
      </c>
      <c r="C454" s="601" t="s">
        <v>45</v>
      </c>
      <c r="D454" s="601">
        <v>1</v>
      </c>
      <c r="E454" s="19" t="s">
        <v>508</v>
      </c>
    </row>
    <row r="455" spans="1:5" x14ac:dyDescent="0.2">
      <c r="A455" s="601" t="str">
        <f t="shared" si="10"/>
        <v>INDEC-PB - 2710-1</v>
      </c>
      <c r="B455" s="20">
        <v>2710</v>
      </c>
      <c r="C455" s="601" t="s">
        <v>45</v>
      </c>
      <c r="D455" s="601">
        <v>1</v>
      </c>
      <c r="E455" s="19" t="s">
        <v>509</v>
      </c>
    </row>
    <row r="456" spans="1:5" x14ac:dyDescent="0.2">
      <c r="A456" s="601" t="str">
        <f t="shared" si="10"/>
        <v>INDEC-PB - 2922-1</v>
      </c>
      <c r="B456" s="20">
        <v>2922</v>
      </c>
      <c r="C456" s="601" t="s">
        <v>45</v>
      </c>
      <c r="D456" s="601">
        <v>1</v>
      </c>
      <c r="E456" s="19" t="s">
        <v>510</v>
      </c>
    </row>
    <row r="457" spans="1:5" x14ac:dyDescent="0.2">
      <c r="A457" s="601" t="str">
        <f t="shared" si="10"/>
        <v>INDEC-PB - 2691-</v>
      </c>
      <c r="B457" s="20">
        <v>2691</v>
      </c>
      <c r="C457" s="601" t="s">
        <v>45</v>
      </c>
      <c r="E457" s="19" t="s">
        <v>511</v>
      </c>
    </row>
    <row r="458" spans="1:5" x14ac:dyDescent="0.2">
      <c r="A458" s="601" t="str">
        <f t="shared" si="10"/>
        <v>INDEC-PB - 2695-</v>
      </c>
      <c r="B458" s="20">
        <v>2695</v>
      </c>
      <c r="C458" s="601" t="s">
        <v>45</v>
      </c>
      <c r="E458" s="19" t="s">
        <v>512</v>
      </c>
    </row>
    <row r="459" spans="1:5" x14ac:dyDescent="0.2">
      <c r="A459" s="601" t="str">
        <f t="shared" si="10"/>
        <v>INDEC-PB - 3410-2</v>
      </c>
      <c r="B459" s="20">
        <v>3410</v>
      </c>
      <c r="C459" s="601" t="s">
        <v>45</v>
      </c>
      <c r="D459" s="601">
        <v>2</v>
      </c>
      <c r="E459" s="19" t="s">
        <v>513</v>
      </c>
    </row>
    <row r="460" spans="1:5" x14ac:dyDescent="0.2">
      <c r="A460" s="601" t="str">
        <f t="shared" si="10"/>
        <v>INDEC-PB - 2520-1</v>
      </c>
      <c r="B460" s="20">
        <v>2520</v>
      </c>
      <c r="C460" s="601" t="s">
        <v>45</v>
      </c>
      <c r="D460" s="601">
        <v>1</v>
      </c>
      <c r="E460" s="624" t="s">
        <v>514</v>
      </c>
    </row>
    <row r="461" spans="1:5" x14ac:dyDescent="0.2">
      <c r="A461" s="601" t="str">
        <f t="shared" si="10"/>
        <v>INDEC-PB - 2413-3</v>
      </c>
      <c r="B461" s="20">
        <v>2413</v>
      </c>
      <c r="C461" s="601" t="s">
        <v>45</v>
      </c>
      <c r="D461" s="601">
        <v>3</v>
      </c>
      <c r="E461" s="624" t="s">
        <v>515</v>
      </c>
    </row>
    <row r="462" spans="1:5" x14ac:dyDescent="0.2">
      <c r="A462" s="601" t="str">
        <f t="shared" si="10"/>
        <v>INDEC-PB - 2519-1</v>
      </c>
      <c r="B462" s="20">
        <v>2519</v>
      </c>
      <c r="C462" s="601" t="s">
        <v>45</v>
      </c>
      <c r="D462" s="601">
        <v>1</v>
      </c>
      <c r="E462" s="624" t="s">
        <v>516</v>
      </c>
    </row>
    <row r="463" spans="1:5" x14ac:dyDescent="0.2">
      <c r="A463" s="601" t="str">
        <f t="shared" si="10"/>
        <v>INDEC-PB - 2520-3</v>
      </c>
      <c r="B463" s="20">
        <v>2520</v>
      </c>
      <c r="C463" s="601" t="s">
        <v>45</v>
      </c>
      <c r="D463" s="601">
        <v>3</v>
      </c>
      <c r="E463" s="624" t="s">
        <v>517</v>
      </c>
    </row>
    <row r="464" spans="1:5" x14ac:dyDescent="0.2">
      <c r="A464" s="601" t="str">
        <f t="shared" si="10"/>
        <v>INDEC-PB - 2022-1</v>
      </c>
      <c r="B464" s="20">
        <v>2022</v>
      </c>
      <c r="C464" s="601" t="s">
        <v>45</v>
      </c>
      <c r="D464" s="601">
        <v>1</v>
      </c>
      <c r="E464" s="624" t="s">
        <v>518</v>
      </c>
    </row>
    <row r="465" spans="1:5" x14ac:dyDescent="0.2">
      <c r="A465" s="601" t="str">
        <f t="shared" si="10"/>
        <v>INDEC-PB - 2511-1</v>
      </c>
      <c r="B465" s="20">
        <v>2511</v>
      </c>
      <c r="C465" s="601" t="s">
        <v>45</v>
      </c>
      <c r="D465" s="601">
        <v>1</v>
      </c>
      <c r="E465" s="624" t="s">
        <v>519</v>
      </c>
    </row>
    <row r="466" spans="1:5" x14ac:dyDescent="0.2">
      <c r="A466" s="601" t="str">
        <f t="shared" si="10"/>
        <v>INDEC-PB - 2899-</v>
      </c>
      <c r="B466" s="20">
        <v>2899</v>
      </c>
      <c r="C466" s="601" t="s">
        <v>45</v>
      </c>
      <c r="E466" s="624" t="s">
        <v>520</v>
      </c>
    </row>
    <row r="467" spans="1:5" x14ac:dyDescent="0.2">
      <c r="A467" s="601" t="str">
        <f t="shared" si="10"/>
        <v>INDEC-PB - 3110-1</v>
      </c>
      <c r="B467" s="20">
        <v>3110</v>
      </c>
      <c r="C467" s="601" t="s">
        <v>45</v>
      </c>
      <c r="D467" s="601">
        <v>1</v>
      </c>
      <c r="E467" s="624" t="s">
        <v>521</v>
      </c>
    </row>
    <row r="468" spans="1:5" x14ac:dyDescent="0.2">
      <c r="A468" s="601" t="str">
        <f t="shared" si="10"/>
        <v>INDEC-PB - 2320-1</v>
      </c>
      <c r="B468" s="20">
        <v>2320</v>
      </c>
      <c r="C468" s="601" t="s">
        <v>45</v>
      </c>
      <c r="D468" s="601">
        <v>1</v>
      </c>
      <c r="E468" s="624" t="s">
        <v>522</v>
      </c>
    </row>
    <row r="469" spans="1:5" x14ac:dyDescent="0.2">
      <c r="A469" s="601" t="str">
        <f t="shared" si="10"/>
        <v>INDEC-PB - 2924-1</v>
      </c>
      <c r="B469" s="20">
        <v>2924</v>
      </c>
      <c r="C469" s="601" t="s">
        <v>45</v>
      </c>
      <c r="D469" s="601">
        <v>1</v>
      </c>
      <c r="E469" s="624" t="s">
        <v>523</v>
      </c>
    </row>
    <row r="470" spans="1:5" x14ac:dyDescent="0.2">
      <c r="A470" s="601" t="str">
        <f t="shared" si="10"/>
        <v>INDEC-PB - 2692-1</v>
      </c>
      <c r="B470" s="20">
        <v>2692</v>
      </c>
      <c r="C470" s="601" t="s">
        <v>45</v>
      </c>
      <c r="D470" s="601">
        <v>1</v>
      </c>
      <c r="E470" s="624" t="s">
        <v>524</v>
      </c>
    </row>
    <row r="471" spans="1:5" x14ac:dyDescent="0.2">
      <c r="A471" s="601" t="str">
        <f t="shared" si="10"/>
        <v>INDEC-PB - 3410-</v>
      </c>
      <c r="B471" s="20">
        <v>3410</v>
      </c>
      <c r="C471" s="601" t="s">
        <v>45</v>
      </c>
      <c r="E471" s="624" t="s">
        <v>525</v>
      </c>
    </row>
    <row r="472" spans="1:5" x14ac:dyDescent="0.2">
      <c r="A472" s="601" t="str">
        <f t="shared" si="10"/>
        <v>INDEC-PB - 2413-1</v>
      </c>
      <c r="B472" s="20">
        <v>2413</v>
      </c>
      <c r="C472" s="601" t="s">
        <v>45</v>
      </c>
      <c r="D472" s="601">
        <v>1</v>
      </c>
      <c r="E472" s="624" t="s">
        <v>526</v>
      </c>
    </row>
    <row r="473" spans="1:5" x14ac:dyDescent="0.2">
      <c r="A473" s="601" t="str">
        <f t="shared" si="10"/>
        <v>INDEC-PB - 291-</v>
      </c>
      <c r="B473" s="20">
        <v>291</v>
      </c>
      <c r="C473" s="601" t="s">
        <v>45</v>
      </c>
      <c r="E473" s="19" t="s">
        <v>527</v>
      </c>
    </row>
    <row r="474" spans="1:5" x14ac:dyDescent="0.2">
      <c r="A474" s="601" t="str">
        <f t="shared" si="10"/>
        <v>INDEC-PB - 2610-1</v>
      </c>
      <c r="B474" s="20">
        <v>2610</v>
      </c>
      <c r="C474" s="601" t="s">
        <v>45</v>
      </c>
      <c r="D474" s="601">
        <v>1</v>
      </c>
      <c r="E474" s="19" t="s">
        <v>528</v>
      </c>
    </row>
    <row r="475" spans="1:5" x14ac:dyDescent="0.2">
      <c r="A475" s="20"/>
      <c r="B475" s="610"/>
      <c r="C475" s="20"/>
      <c r="E475" s="19"/>
    </row>
    <row r="476" spans="1:5" x14ac:dyDescent="0.2">
      <c r="A476" s="20"/>
      <c r="B476" s="610"/>
      <c r="C476" s="20"/>
      <c r="E476" s="627" t="s">
        <v>484</v>
      </c>
    </row>
    <row r="477" spans="1:5" x14ac:dyDescent="0.2">
      <c r="A477" s="601" t="str">
        <f t="shared" ref="A477:A482" si="11">CONCATENATE("INDEC-PB - ",B477,C477,D477)</f>
        <v>INDEC-PB - 2710-1</v>
      </c>
      <c r="B477" s="20">
        <v>2710</v>
      </c>
      <c r="C477" s="601" t="s">
        <v>45</v>
      </c>
      <c r="D477" s="20">
        <v>1</v>
      </c>
      <c r="E477" s="19" t="s">
        <v>529</v>
      </c>
    </row>
    <row r="478" spans="1:5" x14ac:dyDescent="0.2">
      <c r="A478" s="601" t="str">
        <f t="shared" si="11"/>
        <v>INDEC-PB - 2720-1</v>
      </c>
      <c r="B478" s="20">
        <v>2720</v>
      </c>
      <c r="C478" s="601" t="s">
        <v>45</v>
      </c>
      <c r="D478" s="20">
        <v>1</v>
      </c>
      <c r="E478" s="19" t="s">
        <v>530</v>
      </c>
    </row>
    <row r="479" spans="1:5" x14ac:dyDescent="0.2">
      <c r="A479" s="601" t="str">
        <f t="shared" si="11"/>
        <v>INDEC-PB - 2922-1</v>
      </c>
      <c r="B479" s="20">
        <v>2922</v>
      </c>
      <c r="C479" s="601" t="s">
        <v>45</v>
      </c>
      <c r="D479" s="20">
        <v>1</v>
      </c>
      <c r="E479" s="19" t="s">
        <v>531</v>
      </c>
    </row>
    <row r="480" spans="1:5" x14ac:dyDescent="0.2">
      <c r="A480" s="601" t="str">
        <f t="shared" si="11"/>
        <v>INDEC-PB - 2913-1</v>
      </c>
      <c r="B480" s="20">
        <v>2913</v>
      </c>
      <c r="C480" s="601" t="s">
        <v>45</v>
      </c>
      <c r="D480" s="20">
        <v>1</v>
      </c>
      <c r="E480" s="19" t="s">
        <v>532</v>
      </c>
    </row>
    <row r="481" spans="1:7" x14ac:dyDescent="0.2">
      <c r="A481" s="601" t="str">
        <f t="shared" si="11"/>
        <v>INDEC-PB - 2413-11</v>
      </c>
      <c r="B481" s="20">
        <v>2413</v>
      </c>
      <c r="C481" s="601" t="s">
        <v>45</v>
      </c>
      <c r="D481" s="20">
        <v>11</v>
      </c>
      <c r="E481" s="19" t="s">
        <v>533</v>
      </c>
    </row>
    <row r="482" spans="1:7" x14ac:dyDescent="0.2">
      <c r="A482" s="601" t="str">
        <f t="shared" si="11"/>
        <v>INDEC-PB - 2411-1</v>
      </c>
      <c r="B482" s="20">
        <v>2411</v>
      </c>
      <c r="C482" s="601" t="s">
        <v>45</v>
      </c>
      <c r="D482" s="20">
        <v>1</v>
      </c>
      <c r="E482" s="19" t="s">
        <v>534</v>
      </c>
    </row>
    <row r="485" spans="1:7" x14ac:dyDescent="0.2">
      <c r="A485" s="630"/>
      <c r="B485" s="599" t="s">
        <v>570</v>
      </c>
      <c r="C485" s="631"/>
      <c r="D485" s="631"/>
    </row>
    <row r="487" spans="1:7" x14ac:dyDescent="0.2">
      <c r="A487" s="603"/>
      <c r="B487" s="865" t="s">
        <v>261</v>
      </c>
      <c r="C487" s="603"/>
      <c r="D487" s="603"/>
      <c r="E487" s="865" t="s">
        <v>262</v>
      </c>
      <c r="F487" s="865" t="s">
        <v>263</v>
      </c>
      <c r="G487" s="865" t="s">
        <v>264</v>
      </c>
    </row>
    <row r="488" spans="1:7" x14ac:dyDescent="0.2">
      <c r="A488" s="603"/>
      <c r="B488" s="865"/>
      <c r="C488" s="603"/>
      <c r="D488" s="603"/>
      <c r="E488" s="865"/>
      <c r="F488" s="865" t="s">
        <v>265</v>
      </c>
      <c r="G488" s="865"/>
    </row>
    <row r="490" spans="1:7" x14ac:dyDescent="0.2">
      <c r="A490" s="601" t="str">
        <f t="shared" ref="A490:A500" si="12">CONCATENATE("INDEC-DCTO - Inciso ",B490)</f>
        <v>INDEC-DCTO - Inciso a)</v>
      </c>
      <c r="B490" s="601" t="s">
        <v>266</v>
      </c>
      <c r="E490" s="600" t="s">
        <v>267</v>
      </c>
      <c r="F490" s="601" t="s">
        <v>268</v>
      </c>
      <c r="G490" s="600" t="s">
        <v>269</v>
      </c>
    </row>
    <row r="491" spans="1:7" x14ac:dyDescent="0.2">
      <c r="A491" s="601" t="str">
        <f t="shared" si="12"/>
        <v>INDEC-DCTO - Inciso b)</v>
      </c>
      <c r="B491" s="601" t="s">
        <v>270</v>
      </c>
      <c r="E491" s="600" t="s">
        <v>271</v>
      </c>
      <c r="F491" s="601" t="s">
        <v>272</v>
      </c>
      <c r="G491" s="600" t="s">
        <v>273</v>
      </c>
    </row>
    <row r="492" spans="1:7" x14ac:dyDescent="0.2">
      <c r="A492" s="601" t="str">
        <f t="shared" si="12"/>
        <v>INDEC-DCTO - Inciso d)</v>
      </c>
      <c r="B492" s="601" t="s">
        <v>274</v>
      </c>
      <c r="E492" s="600" t="s">
        <v>275</v>
      </c>
      <c r="F492" s="601" t="s">
        <v>272</v>
      </c>
      <c r="G492" s="600" t="s">
        <v>276</v>
      </c>
    </row>
    <row r="493" spans="1:7" x14ac:dyDescent="0.2">
      <c r="A493" s="601" t="str">
        <f t="shared" si="12"/>
        <v>INDEC-DCTO - Inciso f)</v>
      </c>
      <c r="B493" s="601" t="s">
        <v>277</v>
      </c>
      <c r="E493" s="600" t="s">
        <v>278</v>
      </c>
      <c r="F493" s="601" t="s">
        <v>279</v>
      </c>
      <c r="G493" s="600" t="s">
        <v>280</v>
      </c>
    </row>
    <row r="494" spans="1:7" x14ac:dyDescent="0.2">
      <c r="A494" s="601" t="str">
        <f t="shared" si="12"/>
        <v>INDEC-DCTO - Inciso g)</v>
      </c>
      <c r="B494" s="601" t="s">
        <v>281</v>
      </c>
      <c r="E494" s="600" t="s">
        <v>282</v>
      </c>
      <c r="F494" s="601" t="s">
        <v>272</v>
      </c>
      <c r="G494" s="600" t="s">
        <v>283</v>
      </c>
    </row>
    <row r="495" spans="1:7" x14ac:dyDescent="0.2">
      <c r="A495" s="601" t="str">
        <f t="shared" si="12"/>
        <v>INDEC-DCTO - Inciso h)</v>
      </c>
      <c r="B495" s="601" t="s">
        <v>284</v>
      </c>
      <c r="E495" s="600" t="s">
        <v>285</v>
      </c>
      <c r="F495" s="601" t="s">
        <v>286</v>
      </c>
      <c r="G495" s="600" t="s">
        <v>287</v>
      </c>
    </row>
    <row r="496" spans="1:7" x14ac:dyDescent="0.2">
      <c r="A496" s="601" t="str">
        <f t="shared" si="12"/>
        <v>INDEC-DCTO - Inciso p)</v>
      </c>
      <c r="B496" s="601" t="s">
        <v>288</v>
      </c>
      <c r="E496" s="600" t="s">
        <v>289</v>
      </c>
      <c r="F496" s="601" t="s">
        <v>268</v>
      </c>
      <c r="G496" s="600" t="s">
        <v>290</v>
      </c>
    </row>
    <row r="497" spans="1:7" x14ac:dyDescent="0.2">
      <c r="A497" s="601" t="str">
        <f t="shared" si="12"/>
        <v>INDEC-DCTO - Inciso r)</v>
      </c>
      <c r="B497" s="601" t="s">
        <v>291</v>
      </c>
      <c r="E497" s="600" t="s">
        <v>292</v>
      </c>
      <c r="F497" s="601" t="s">
        <v>272</v>
      </c>
      <c r="G497" s="600" t="s">
        <v>293</v>
      </c>
    </row>
    <row r="498" spans="1:7" x14ac:dyDescent="0.2">
      <c r="A498" s="601" t="str">
        <f t="shared" si="12"/>
        <v>INDEC-DCTO - Inciso s)</v>
      </c>
      <c r="B498" s="601" t="s">
        <v>294</v>
      </c>
      <c r="E498" s="600" t="s">
        <v>295</v>
      </c>
      <c r="F498" s="601" t="s">
        <v>286</v>
      </c>
      <c r="G498" s="600" t="s">
        <v>165</v>
      </c>
    </row>
    <row r="499" spans="1:7" x14ac:dyDescent="0.2">
      <c r="A499" s="601" t="str">
        <f t="shared" si="12"/>
        <v>INDEC-DCTO - Inciso u)</v>
      </c>
      <c r="B499" s="601" t="s">
        <v>296</v>
      </c>
      <c r="E499" s="600" t="s">
        <v>297</v>
      </c>
      <c r="F499" s="601">
        <v>4324041</v>
      </c>
      <c r="G499" s="600" t="s">
        <v>188</v>
      </c>
    </row>
    <row r="500" spans="1:7" x14ac:dyDescent="0.2">
      <c r="A500" s="601" t="str">
        <f t="shared" si="12"/>
        <v>INDEC-DCTO - Inciso v)</v>
      </c>
      <c r="B500" s="601" t="s">
        <v>298</v>
      </c>
      <c r="E500" s="600" t="s">
        <v>299</v>
      </c>
      <c r="F500" s="601">
        <v>4322032</v>
      </c>
      <c r="G500" s="600" t="s">
        <v>133</v>
      </c>
    </row>
    <row r="501" spans="1:7" x14ac:dyDescent="0.2">
      <c r="A501" s="601"/>
      <c r="F501" s="601"/>
    </row>
    <row r="502" spans="1:7" x14ac:dyDescent="0.2">
      <c r="A502" s="601" t="str">
        <f>CONCATENATE("INDEC-DCTO - Inciso ",B502)</f>
        <v>INDEC-DCTO - Inciso c)</v>
      </c>
      <c r="B502" s="601" t="s">
        <v>300</v>
      </c>
      <c r="E502" s="600" t="s">
        <v>301</v>
      </c>
      <c r="F502" s="601"/>
      <c r="G502" s="600" t="s">
        <v>571</v>
      </c>
    </row>
    <row r="503" spans="1:7" x14ac:dyDescent="0.2">
      <c r="A503" s="601" t="str">
        <f>CONCATENATE("INDEC-DCTO - Inciso ",B503)</f>
        <v>INDEC-DCTO - Inciso m)</v>
      </c>
      <c r="B503" s="601" t="s">
        <v>302</v>
      </c>
      <c r="E503" s="600" t="s">
        <v>303</v>
      </c>
      <c r="F503" s="601"/>
      <c r="G503" s="600" t="s">
        <v>572</v>
      </c>
    </row>
    <row r="504" spans="1:7" x14ac:dyDescent="0.2">
      <c r="A504" s="601" t="str">
        <f>CONCATENATE("INDEC-DCTO - Inciso ",B504)</f>
        <v>INDEC-DCTO - Inciso n)</v>
      </c>
      <c r="B504" s="601" t="s">
        <v>304</v>
      </c>
      <c r="E504" s="600" t="s">
        <v>305</v>
      </c>
      <c r="F504" s="601"/>
      <c r="G504" s="600" t="s">
        <v>573</v>
      </c>
    </row>
    <row r="505" spans="1:7" x14ac:dyDescent="0.2">
      <c r="A505" s="601" t="str">
        <f>CONCATENATE("INDEC-DCTO - Inciso ",B505)</f>
        <v>INDEC-DCTO - Inciso q)</v>
      </c>
      <c r="B505" s="601" t="s">
        <v>306</v>
      </c>
      <c r="E505" s="600" t="s">
        <v>307</v>
      </c>
      <c r="F505" s="601"/>
      <c r="G505" s="600" t="s">
        <v>574</v>
      </c>
    </row>
    <row r="508" spans="1:7" x14ac:dyDescent="0.2">
      <c r="B508" s="599" t="s">
        <v>575</v>
      </c>
    </row>
    <row r="511" spans="1:7" x14ac:dyDescent="0.2">
      <c r="A511" s="603"/>
      <c r="B511" s="865" t="s">
        <v>261</v>
      </c>
      <c r="C511" s="603"/>
      <c r="D511" s="603"/>
      <c r="E511" s="865" t="s">
        <v>262</v>
      </c>
      <c r="F511" s="865" t="s">
        <v>263</v>
      </c>
      <c r="G511" s="865" t="s">
        <v>264</v>
      </c>
    </row>
    <row r="512" spans="1:7" x14ac:dyDescent="0.2">
      <c r="A512" s="603"/>
      <c r="B512" s="865"/>
      <c r="C512" s="603"/>
      <c r="D512" s="603"/>
      <c r="E512" s="865"/>
      <c r="F512" s="865" t="s">
        <v>265</v>
      </c>
      <c r="G512" s="865"/>
    </row>
    <row r="513" spans="1:7" x14ac:dyDescent="0.2">
      <c r="A513" s="19"/>
      <c r="B513" s="18"/>
      <c r="C513" s="18"/>
      <c r="D513" s="18"/>
      <c r="E513" s="19"/>
      <c r="F513" s="19"/>
      <c r="G513" s="19"/>
    </row>
    <row r="514" spans="1:7" x14ac:dyDescent="0.2">
      <c r="A514" s="19"/>
      <c r="B514" s="18"/>
      <c r="C514" s="18"/>
      <c r="D514" s="18"/>
      <c r="E514" s="618" t="s">
        <v>507</v>
      </c>
      <c r="F514" s="19"/>
      <c r="G514" s="19"/>
    </row>
    <row r="515" spans="1:7" x14ac:dyDescent="0.2">
      <c r="A515" s="601" t="str">
        <f>CONCATENATE("INDEC-DCTO - Inciso ",B515)</f>
        <v>INDEC-DCTO - Inciso e)</v>
      </c>
      <c r="B515" s="601" t="s">
        <v>564</v>
      </c>
      <c r="C515" s="18"/>
      <c r="D515" s="18"/>
      <c r="E515" s="19" t="s">
        <v>546</v>
      </c>
      <c r="F515" s="18" t="s">
        <v>547</v>
      </c>
      <c r="G515" s="19" t="s">
        <v>548</v>
      </c>
    </row>
    <row r="516" spans="1:7" x14ac:dyDescent="0.2">
      <c r="A516" s="601" t="str">
        <f>CONCATENATE("INDEC-DCTO - Inciso ",B516)</f>
        <v>INDEC-DCTO - Inciso i)</v>
      </c>
      <c r="B516" s="601" t="s">
        <v>565</v>
      </c>
      <c r="C516" s="18"/>
      <c r="D516" s="18"/>
      <c r="E516" s="19" t="s">
        <v>549</v>
      </c>
      <c r="F516" s="18" t="s">
        <v>550</v>
      </c>
      <c r="G516" s="19" t="s">
        <v>551</v>
      </c>
    </row>
    <row r="517" spans="1:7" x14ac:dyDescent="0.2">
      <c r="A517" s="601" t="str">
        <f>CONCATENATE("INDEC-DCTO - Inciso ",B517)</f>
        <v>INDEC-DCTO - Inciso k)</v>
      </c>
      <c r="B517" s="601" t="s">
        <v>566</v>
      </c>
      <c r="C517" s="18"/>
      <c r="D517" s="18"/>
      <c r="E517" s="19" t="s">
        <v>552</v>
      </c>
      <c r="F517" s="18" t="s">
        <v>553</v>
      </c>
      <c r="G517" s="19" t="s">
        <v>554</v>
      </c>
    </row>
    <row r="518" spans="1:7" x14ac:dyDescent="0.2">
      <c r="A518" s="601" t="str">
        <f>CONCATENATE("INDEC-DCTO - Inciso ",B518)</f>
        <v>INDEC-DCTO - Inciso t)</v>
      </c>
      <c r="B518" s="601" t="s">
        <v>567</v>
      </c>
      <c r="C518" s="18"/>
      <c r="D518" s="18"/>
      <c r="E518" s="19" t="s">
        <v>555</v>
      </c>
      <c r="F518" s="18" t="s">
        <v>556</v>
      </c>
      <c r="G518" s="19" t="s">
        <v>557</v>
      </c>
    </row>
    <row r="519" spans="1:7" x14ac:dyDescent="0.2">
      <c r="A519" s="601" t="str">
        <f>CONCATENATE("INDEC-DCTO - Inciso ",B519)</f>
        <v>INDEC-DCTO - Inciso w)</v>
      </c>
      <c r="B519" s="601"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18" t="s">
        <v>484</v>
      </c>
      <c r="F521" s="18"/>
      <c r="G521" s="19"/>
    </row>
    <row r="522" spans="1:7" x14ac:dyDescent="0.2">
      <c r="A522" s="601" t="str">
        <f>CONCATENATE("INDEC-DCTO - Inciso ",B522)</f>
        <v>INDEC-DCTO - Inciso j)</v>
      </c>
      <c r="B522" s="601"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10"/>
      <c r="C526" s="18"/>
      <c r="D526" s="18"/>
      <c r="E526" s="19"/>
    </row>
    <row r="528" spans="1:7" x14ac:dyDescent="0.2">
      <c r="A528" s="598"/>
      <c r="B528" s="599" t="s">
        <v>308</v>
      </c>
      <c r="C528" s="599"/>
      <c r="D528" s="599"/>
    </row>
    <row r="530" spans="1:5" x14ac:dyDescent="0.2">
      <c r="A530" s="865" t="s">
        <v>343</v>
      </c>
      <c r="B530" s="865" t="s">
        <v>42</v>
      </c>
      <c r="C530" s="865"/>
      <c r="D530" s="865"/>
      <c r="E530" s="865" t="s">
        <v>43</v>
      </c>
    </row>
    <row r="531" spans="1:5" x14ac:dyDescent="0.2">
      <c r="A531" s="865"/>
      <c r="B531" s="865" t="s">
        <v>44</v>
      </c>
      <c r="C531" s="865"/>
      <c r="D531" s="865"/>
      <c r="E531" s="865"/>
    </row>
    <row r="532" spans="1:5" x14ac:dyDescent="0.2">
      <c r="A532" s="601" t="str">
        <f t="shared" ref="A532:A553" si="13">CONCATENATE("INDEC-GG ",B532,C532,D532)</f>
        <v>INDEC-GG 18000-1</v>
      </c>
      <c r="B532" s="601">
        <v>18000</v>
      </c>
      <c r="C532" s="601" t="s">
        <v>45</v>
      </c>
      <c r="D532" s="601">
        <v>1</v>
      </c>
      <c r="E532" s="614" t="s">
        <v>309</v>
      </c>
    </row>
    <row r="533" spans="1:5" x14ac:dyDescent="0.2">
      <c r="A533" s="601" t="str">
        <f t="shared" si="13"/>
        <v>INDEC-GG 83107-1</v>
      </c>
      <c r="B533" s="601">
        <v>83107</v>
      </c>
      <c r="C533" s="601" t="s">
        <v>45</v>
      </c>
      <c r="D533" s="601">
        <v>1</v>
      </c>
      <c r="E533" s="614" t="s">
        <v>310</v>
      </c>
    </row>
    <row r="534" spans="1:5" x14ac:dyDescent="0.2">
      <c r="A534" s="601" t="str">
        <f t="shared" si="13"/>
        <v>INDEC-GG 71240-11</v>
      </c>
      <c r="B534" s="601">
        <v>71240</v>
      </c>
      <c r="C534" s="601" t="s">
        <v>45</v>
      </c>
      <c r="D534" s="601">
        <v>11</v>
      </c>
      <c r="E534" s="611" t="s">
        <v>311</v>
      </c>
    </row>
    <row r="535" spans="1:5" x14ac:dyDescent="0.2">
      <c r="A535" s="601" t="str">
        <f t="shared" si="13"/>
        <v>INDEC-GG 71233-11</v>
      </c>
      <c r="B535" s="601">
        <v>71233</v>
      </c>
      <c r="C535" s="601" t="s">
        <v>45</v>
      </c>
      <c r="D535" s="601">
        <v>11</v>
      </c>
      <c r="E535" s="611" t="s">
        <v>312</v>
      </c>
    </row>
    <row r="536" spans="1:5" x14ac:dyDescent="0.2">
      <c r="A536" s="601" t="str">
        <f t="shared" si="13"/>
        <v>INDEC-GG 51800-11</v>
      </c>
      <c r="B536" s="601">
        <v>51800</v>
      </c>
      <c r="C536" s="601" t="s">
        <v>45</v>
      </c>
      <c r="D536" s="601">
        <v>11</v>
      </c>
      <c r="E536" s="611" t="s">
        <v>313</v>
      </c>
    </row>
    <row r="537" spans="1:5" x14ac:dyDescent="0.2">
      <c r="A537" s="601" t="str">
        <f t="shared" si="13"/>
        <v>INDEC-GG 51800-21</v>
      </c>
      <c r="B537" s="601">
        <v>51800</v>
      </c>
      <c r="C537" s="601" t="s">
        <v>45</v>
      </c>
      <c r="D537" s="601">
        <v>21</v>
      </c>
      <c r="E537" s="614" t="s">
        <v>314</v>
      </c>
    </row>
    <row r="538" spans="1:5" x14ac:dyDescent="0.2">
      <c r="A538" s="601" t="str">
        <f t="shared" si="13"/>
        <v>INDEC-GG 74110-11</v>
      </c>
      <c r="B538" s="601">
        <v>74110</v>
      </c>
      <c r="C538" s="601" t="s">
        <v>45</v>
      </c>
      <c r="D538" s="601">
        <v>11</v>
      </c>
      <c r="E538" s="611" t="s">
        <v>315</v>
      </c>
    </row>
    <row r="539" spans="1:5" x14ac:dyDescent="0.2">
      <c r="A539" s="601" t="str">
        <f t="shared" si="13"/>
        <v>INDEC-GG 51560-31</v>
      </c>
      <c r="B539" s="601">
        <v>51560</v>
      </c>
      <c r="C539" s="601" t="s">
        <v>45</v>
      </c>
      <c r="D539" s="601">
        <v>31</v>
      </c>
      <c r="E539" s="614" t="s">
        <v>316</v>
      </c>
    </row>
    <row r="540" spans="1:5" x14ac:dyDescent="0.2">
      <c r="A540" s="601" t="str">
        <f t="shared" si="13"/>
        <v>INDEC-GG 53111-1</v>
      </c>
      <c r="B540" s="601">
        <v>53111</v>
      </c>
      <c r="C540" s="601" t="s">
        <v>45</v>
      </c>
      <c r="D540" s="601">
        <v>1</v>
      </c>
      <c r="E540" s="611" t="s">
        <v>317</v>
      </c>
    </row>
    <row r="541" spans="1:5" x14ac:dyDescent="0.2">
      <c r="A541" s="601" t="str">
        <f t="shared" si="13"/>
        <v>INDEC-GG 54400-1</v>
      </c>
      <c r="B541" s="601">
        <v>54400</v>
      </c>
      <c r="C541" s="601" t="s">
        <v>45</v>
      </c>
      <c r="D541" s="601">
        <v>1</v>
      </c>
      <c r="E541" s="611" t="s">
        <v>318</v>
      </c>
    </row>
    <row r="542" spans="1:5" x14ac:dyDescent="0.2">
      <c r="A542" s="601" t="str">
        <f t="shared" si="13"/>
        <v>INDEC-GG 18000-21</v>
      </c>
      <c r="B542" s="601">
        <v>18000</v>
      </c>
      <c r="C542" s="601" t="s">
        <v>45</v>
      </c>
      <c r="D542" s="601">
        <v>21</v>
      </c>
      <c r="E542" s="611" t="s">
        <v>319</v>
      </c>
    </row>
    <row r="543" spans="1:5" x14ac:dyDescent="0.2">
      <c r="A543" s="601" t="str">
        <f t="shared" si="13"/>
        <v>INDEC-GG 18000-22</v>
      </c>
      <c r="B543" s="601">
        <v>18000</v>
      </c>
      <c r="C543" s="601" t="s">
        <v>45</v>
      </c>
      <c r="D543" s="601">
        <v>22</v>
      </c>
      <c r="E543" s="611" t="s">
        <v>320</v>
      </c>
    </row>
    <row r="544" spans="1:5" x14ac:dyDescent="0.2">
      <c r="A544" s="601" t="str">
        <f t="shared" si="13"/>
        <v>INDEC-GG 88700-2</v>
      </c>
      <c r="B544" s="601">
        <v>88700</v>
      </c>
      <c r="C544" s="601" t="s">
        <v>45</v>
      </c>
      <c r="D544" s="601">
        <v>2</v>
      </c>
      <c r="E544" s="611" t="s">
        <v>321</v>
      </c>
    </row>
    <row r="545" spans="1:5" x14ac:dyDescent="0.2">
      <c r="A545" s="601" t="str">
        <f t="shared" si="13"/>
        <v>INDEC-GG 88700-31</v>
      </c>
      <c r="B545" s="601">
        <v>88700</v>
      </c>
      <c r="C545" s="601" t="s">
        <v>45</v>
      </c>
      <c r="D545" s="601">
        <v>31</v>
      </c>
      <c r="E545" s="614" t="s">
        <v>322</v>
      </c>
    </row>
    <row r="546" spans="1:5" x14ac:dyDescent="0.2">
      <c r="A546" s="601" t="str">
        <f t="shared" si="13"/>
        <v>INDEC-GG DEP-EQ</v>
      </c>
      <c r="B546" s="601" t="s">
        <v>934</v>
      </c>
      <c r="E546" s="614" t="s">
        <v>323</v>
      </c>
    </row>
    <row r="547" spans="1:5" x14ac:dyDescent="0.2">
      <c r="A547" s="601" t="str">
        <f t="shared" si="13"/>
        <v>INDEC-GG 88700-1</v>
      </c>
      <c r="B547" s="601">
        <v>88700</v>
      </c>
      <c r="C547" s="601" t="s">
        <v>45</v>
      </c>
      <c r="D547" s="601">
        <v>1</v>
      </c>
      <c r="E547" s="614" t="s">
        <v>324</v>
      </c>
    </row>
    <row r="548" spans="1:5" x14ac:dyDescent="0.2">
      <c r="A548" s="601" t="str">
        <f t="shared" si="13"/>
        <v>INDEC-GG 31210-11</v>
      </c>
      <c r="B548" s="601">
        <v>31210</v>
      </c>
      <c r="C548" s="601" t="s">
        <v>45</v>
      </c>
      <c r="D548" s="601">
        <v>11</v>
      </c>
      <c r="E548" s="614" t="s">
        <v>325</v>
      </c>
    </row>
    <row r="549" spans="1:5" x14ac:dyDescent="0.2">
      <c r="A549" s="601" t="str">
        <f t="shared" si="13"/>
        <v>INDEC-GG 81295-1</v>
      </c>
      <c r="B549" s="601">
        <v>81295</v>
      </c>
      <c r="C549" s="601" t="s">
        <v>45</v>
      </c>
      <c r="D549" s="601">
        <v>1</v>
      </c>
      <c r="E549" s="614" t="s">
        <v>326</v>
      </c>
    </row>
    <row r="550" spans="1:5" x14ac:dyDescent="0.2">
      <c r="A550" s="601" t="str">
        <f t="shared" si="13"/>
        <v>INDEC-GG 81297-1</v>
      </c>
      <c r="B550" s="601">
        <v>81297</v>
      </c>
      <c r="C550" s="601" t="s">
        <v>45</v>
      </c>
      <c r="D550" s="601">
        <v>1</v>
      </c>
      <c r="E550" s="611" t="s">
        <v>327</v>
      </c>
    </row>
    <row r="551" spans="1:5" x14ac:dyDescent="0.2">
      <c r="A551" s="601" t="str">
        <f t="shared" si="13"/>
        <v>INDEC-GG 51560-21</v>
      </c>
      <c r="B551" s="601">
        <v>51560</v>
      </c>
      <c r="C551" s="601" t="s">
        <v>45</v>
      </c>
      <c r="D551" s="601">
        <v>21</v>
      </c>
      <c r="E551" s="614" t="s">
        <v>328</v>
      </c>
    </row>
    <row r="552" spans="1:5" x14ac:dyDescent="0.2">
      <c r="A552" s="601" t="str">
        <f t="shared" si="13"/>
        <v>INDEC-GG 31100-11</v>
      </c>
      <c r="B552" s="601">
        <v>31100</v>
      </c>
      <c r="C552" s="601" t="s">
        <v>45</v>
      </c>
      <c r="D552" s="601">
        <v>11</v>
      </c>
      <c r="E552" s="614" t="s">
        <v>329</v>
      </c>
    </row>
    <row r="553" spans="1:5" x14ac:dyDescent="0.2">
      <c r="A553" s="601" t="str">
        <f t="shared" si="13"/>
        <v>INDEC-GG 53211-11</v>
      </c>
      <c r="B553" s="601">
        <v>53211</v>
      </c>
      <c r="C553" s="601" t="s">
        <v>45</v>
      </c>
      <c r="D553" s="601">
        <v>11</v>
      </c>
      <c r="E553" s="611" t="s">
        <v>330</v>
      </c>
    </row>
    <row r="556" spans="1:5" x14ac:dyDescent="0.2">
      <c r="B556" s="599" t="s">
        <v>718</v>
      </c>
    </row>
    <row r="557" spans="1:5" x14ac:dyDescent="0.2">
      <c r="B557" s="599" t="s">
        <v>719</v>
      </c>
    </row>
    <row r="559" spans="1:5" x14ac:dyDescent="0.2">
      <c r="A559" s="601" t="str">
        <f t="shared" ref="A559:A622" si="14">CONCATENATE("DNV-T I - ",B559)</f>
        <v>DNV-T I - 1</v>
      </c>
      <c r="B559" s="601">
        <v>1</v>
      </c>
      <c r="E559" s="600" t="s">
        <v>267</v>
      </c>
    </row>
    <row r="560" spans="1:5" x14ac:dyDescent="0.2">
      <c r="A560" s="601" t="str">
        <f t="shared" si="14"/>
        <v>DNV-T I - 2</v>
      </c>
      <c r="B560" s="601">
        <v>2</v>
      </c>
      <c r="E560" s="600" t="s">
        <v>720</v>
      </c>
    </row>
    <row r="561" spans="1:5" x14ac:dyDescent="0.2">
      <c r="A561" s="601" t="str">
        <f t="shared" si="14"/>
        <v>DNV-T I - 3</v>
      </c>
      <c r="B561" s="601">
        <v>3</v>
      </c>
      <c r="E561" s="600" t="s">
        <v>721</v>
      </c>
    </row>
    <row r="562" spans="1:5" x14ac:dyDescent="0.2">
      <c r="A562" s="601" t="str">
        <f t="shared" si="14"/>
        <v>DNV-T I - 4</v>
      </c>
      <c r="B562" s="601">
        <v>4</v>
      </c>
      <c r="E562" s="600" t="s">
        <v>722</v>
      </c>
    </row>
    <row r="563" spans="1:5" x14ac:dyDescent="0.2">
      <c r="A563" s="601" t="str">
        <f t="shared" si="14"/>
        <v>DNV-T I - 5</v>
      </c>
      <c r="B563" s="601">
        <v>5</v>
      </c>
      <c r="E563" s="600" t="s">
        <v>723</v>
      </c>
    </row>
    <row r="564" spans="1:5" x14ac:dyDescent="0.2">
      <c r="A564" s="601" t="str">
        <f t="shared" si="14"/>
        <v>DNV-T I - 6</v>
      </c>
      <c r="B564" s="601">
        <v>6</v>
      </c>
      <c r="E564" s="600" t="s">
        <v>724</v>
      </c>
    </row>
    <row r="565" spans="1:5" x14ac:dyDescent="0.2">
      <c r="A565" s="601" t="str">
        <f t="shared" si="14"/>
        <v>DNV-T I - 7</v>
      </c>
      <c r="B565" s="601">
        <v>7</v>
      </c>
      <c r="E565" s="600" t="s">
        <v>725</v>
      </c>
    </row>
    <row r="566" spans="1:5" x14ac:dyDescent="0.2">
      <c r="A566" s="601" t="str">
        <f t="shared" si="14"/>
        <v>DNV-T I - 8</v>
      </c>
      <c r="B566" s="601">
        <v>8</v>
      </c>
      <c r="E566" s="600" t="s">
        <v>726</v>
      </c>
    </row>
    <row r="567" spans="1:5" x14ac:dyDescent="0.2">
      <c r="A567" s="601" t="str">
        <f t="shared" si="14"/>
        <v>DNV-T I - 9</v>
      </c>
      <c r="B567" s="601">
        <v>9</v>
      </c>
      <c r="E567" s="600" t="s">
        <v>727</v>
      </c>
    </row>
    <row r="568" spans="1:5" x14ac:dyDescent="0.2">
      <c r="A568" s="601" t="str">
        <f t="shared" si="14"/>
        <v>DNV-T I - 10</v>
      </c>
      <c r="B568" s="601">
        <v>10</v>
      </c>
      <c r="E568" s="600" t="s">
        <v>728</v>
      </c>
    </row>
    <row r="569" spans="1:5" x14ac:dyDescent="0.2">
      <c r="A569" s="601" t="str">
        <f t="shared" si="14"/>
        <v>DNV-T I - 11</v>
      </c>
      <c r="B569" s="601">
        <v>11</v>
      </c>
      <c r="E569" s="600" t="s">
        <v>729</v>
      </c>
    </row>
    <row r="570" spans="1:5" x14ac:dyDescent="0.2">
      <c r="A570" s="601" t="str">
        <f t="shared" si="14"/>
        <v>DNV-T I - 12</v>
      </c>
      <c r="B570" s="601">
        <v>12</v>
      </c>
      <c r="E570" s="600" t="s">
        <v>730</v>
      </c>
    </row>
    <row r="571" spans="1:5" x14ac:dyDescent="0.2">
      <c r="A571" s="601" t="str">
        <f t="shared" si="14"/>
        <v>DNV-T I - 13</v>
      </c>
      <c r="B571" s="601">
        <v>13</v>
      </c>
      <c r="E571" s="600" t="s">
        <v>731</v>
      </c>
    </row>
    <row r="572" spans="1:5" x14ac:dyDescent="0.2">
      <c r="A572" s="601" t="str">
        <f t="shared" si="14"/>
        <v>DNV-T I - 14</v>
      </c>
      <c r="B572" s="601">
        <v>14</v>
      </c>
      <c r="E572" s="600" t="s">
        <v>732</v>
      </c>
    </row>
    <row r="573" spans="1:5" x14ac:dyDescent="0.2">
      <c r="A573" s="601" t="str">
        <f t="shared" si="14"/>
        <v>DNV-T I - 15</v>
      </c>
      <c r="B573" s="601">
        <v>15</v>
      </c>
      <c r="E573" s="600" t="s">
        <v>733</v>
      </c>
    </row>
    <row r="574" spans="1:5" x14ac:dyDescent="0.2">
      <c r="A574" s="601" t="str">
        <f t="shared" si="14"/>
        <v>DNV-T I - 16</v>
      </c>
      <c r="B574" s="601">
        <v>16</v>
      </c>
      <c r="E574" s="600" t="s">
        <v>734</v>
      </c>
    </row>
    <row r="575" spans="1:5" x14ac:dyDescent="0.2">
      <c r="A575" s="601" t="str">
        <f t="shared" si="14"/>
        <v>DNV-T I - 17</v>
      </c>
      <c r="B575" s="601">
        <v>17</v>
      </c>
      <c r="E575" s="600" t="s">
        <v>735</v>
      </c>
    </row>
    <row r="576" spans="1:5" x14ac:dyDescent="0.2">
      <c r="A576" s="601" t="str">
        <f t="shared" si="14"/>
        <v>DNV-T I - 18</v>
      </c>
      <c r="B576" s="601">
        <v>18</v>
      </c>
      <c r="E576" s="600" t="s">
        <v>736</v>
      </c>
    </row>
    <row r="577" spans="1:5" x14ac:dyDescent="0.2">
      <c r="A577" s="601" t="str">
        <f t="shared" si="14"/>
        <v>DNV-T I - 19</v>
      </c>
      <c r="B577" s="601">
        <v>19</v>
      </c>
      <c r="E577" s="600" t="s">
        <v>737</v>
      </c>
    </row>
    <row r="578" spans="1:5" x14ac:dyDescent="0.2">
      <c r="A578" s="601" t="str">
        <f t="shared" si="14"/>
        <v>DNV-T I - 20</v>
      </c>
      <c r="B578" s="601">
        <v>20</v>
      </c>
      <c r="E578" s="600" t="s">
        <v>738</v>
      </c>
    </row>
    <row r="579" spans="1:5" x14ac:dyDescent="0.2">
      <c r="A579" s="601" t="str">
        <f t="shared" si="14"/>
        <v>DNV-T I - 21</v>
      </c>
      <c r="B579" s="601">
        <v>21</v>
      </c>
      <c r="E579" s="600" t="s">
        <v>739</v>
      </c>
    </row>
    <row r="580" spans="1:5" x14ac:dyDescent="0.2">
      <c r="A580" s="601" t="str">
        <f t="shared" si="14"/>
        <v>DNV-T I - 22</v>
      </c>
      <c r="B580" s="601">
        <v>22</v>
      </c>
      <c r="E580" s="600" t="s">
        <v>740</v>
      </c>
    </row>
    <row r="581" spans="1:5" x14ac:dyDescent="0.2">
      <c r="A581" s="601" t="str">
        <f t="shared" si="14"/>
        <v>DNV-T I - 23</v>
      </c>
      <c r="B581" s="601">
        <v>23</v>
      </c>
      <c r="E581" s="600" t="s">
        <v>741</v>
      </c>
    </row>
    <row r="582" spans="1:5" x14ac:dyDescent="0.2">
      <c r="A582" s="601" t="str">
        <f t="shared" si="14"/>
        <v>DNV-T I - 24</v>
      </c>
      <c r="B582" s="601">
        <v>24</v>
      </c>
      <c r="E582" s="600" t="s">
        <v>742</v>
      </c>
    </row>
    <row r="583" spans="1:5" x14ac:dyDescent="0.2">
      <c r="A583" s="601" t="str">
        <f t="shared" si="14"/>
        <v>DNV-T I - 25</v>
      </c>
      <c r="B583" s="601">
        <v>25</v>
      </c>
      <c r="E583" s="600" t="s">
        <v>743</v>
      </c>
    </row>
    <row r="584" spans="1:5" x14ac:dyDescent="0.2">
      <c r="A584" s="601" t="str">
        <f t="shared" si="14"/>
        <v>DNV-T I - 26</v>
      </c>
      <c r="B584" s="601">
        <v>26</v>
      </c>
      <c r="E584" s="600" t="s">
        <v>744</v>
      </c>
    </row>
    <row r="585" spans="1:5" x14ac:dyDescent="0.2">
      <c r="A585" s="601" t="str">
        <f t="shared" si="14"/>
        <v>DNV-T I - 27</v>
      </c>
      <c r="B585" s="601">
        <v>27</v>
      </c>
      <c r="E585" s="600" t="s">
        <v>745</v>
      </c>
    </row>
    <row r="586" spans="1:5" x14ac:dyDescent="0.2">
      <c r="A586" s="601" t="str">
        <f t="shared" si="14"/>
        <v>DNV-T I - 28</v>
      </c>
      <c r="B586" s="601">
        <v>28</v>
      </c>
      <c r="E586" s="600" t="s">
        <v>746</v>
      </c>
    </row>
    <row r="587" spans="1:5" x14ac:dyDescent="0.2">
      <c r="A587" s="601" t="str">
        <f t="shared" si="14"/>
        <v>DNV-T I - 29</v>
      </c>
      <c r="B587" s="601">
        <v>29</v>
      </c>
      <c r="E587" s="600" t="s">
        <v>747</v>
      </c>
    </row>
    <row r="588" spans="1:5" x14ac:dyDescent="0.2">
      <c r="A588" s="601" t="str">
        <f t="shared" si="14"/>
        <v>DNV-T I - 30</v>
      </c>
      <c r="B588" s="601">
        <v>30</v>
      </c>
      <c r="E588" s="600" t="s">
        <v>748</v>
      </c>
    </row>
    <row r="589" spans="1:5" x14ac:dyDescent="0.2">
      <c r="A589" s="601" t="str">
        <f t="shared" si="14"/>
        <v>DNV-T I - 31</v>
      </c>
      <c r="B589" s="601">
        <v>31</v>
      </c>
      <c r="E589" s="600" t="s">
        <v>749</v>
      </c>
    </row>
    <row r="590" spans="1:5" x14ac:dyDescent="0.2">
      <c r="A590" s="601" t="str">
        <f t="shared" si="14"/>
        <v>DNV-T I - 32</v>
      </c>
      <c r="B590" s="601">
        <v>32</v>
      </c>
      <c r="E590" s="600" t="s">
        <v>750</v>
      </c>
    </row>
    <row r="591" spans="1:5" x14ac:dyDescent="0.2">
      <c r="A591" s="601" t="str">
        <f t="shared" si="14"/>
        <v>DNV-T I - 33</v>
      </c>
      <c r="B591" s="601">
        <v>33</v>
      </c>
      <c r="E591" s="600" t="s">
        <v>751</v>
      </c>
    </row>
    <row r="592" spans="1:5" x14ac:dyDescent="0.2">
      <c r="A592" s="601" t="str">
        <f t="shared" si="14"/>
        <v>DNV-T I - 34</v>
      </c>
      <c r="B592" s="601">
        <v>34</v>
      </c>
      <c r="E592" s="600" t="s">
        <v>752</v>
      </c>
    </row>
    <row r="593" spans="1:5" x14ac:dyDescent="0.2">
      <c r="A593" s="601" t="str">
        <f t="shared" si="14"/>
        <v>DNV-T I - 35</v>
      </c>
      <c r="B593" s="601">
        <v>35</v>
      </c>
      <c r="E593" s="600" t="s">
        <v>753</v>
      </c>
    </row>
    <row r="594" spans="1:5" x14ac:dyDescent="0.2">
      <c r="A594" s="601" t="str">
        <f t="shared" si="14"/>
        <v>DNV-T I - 36</v>
      </c>
      <c r="B594" s="601">
        <v>36</v>
      </c>
      <c r="E594" s="600" t="s">
        <v>754</v>
      </c>
    </row>
    <row r="595" spans="1:5" x14ac:dyDescent="0.2">
      <c r="A595" s="601" t="str">
        <f t="shared" si="14"/>
        <v>DNV-T I - 37</v>
      </c>
      <c r="B595" s="601">
        <v>37</v>
      </c>
      <c r="E595" s="600" t="s">
        <v>755</v>
      </c>
    </row>
    <row r="596" spans="1:5" x14ac:dyDescent="0.2">
      <c r="A596" s="601" t="str">
        <f t="shared" si="14"/>
        <v>DNV-T I - 38</v>
      </c>
      <c r="B596" s="601">
        <v>38</v>
      </c>
      <c r="E596" s="600" t="s">
        <v>756</v>
      </c>
    </row>
    <row r="597" spans="1:5" x14ac:dyDescent="0.2">
      <c r="A597" s="601" t="str">
        <f t="shared" si="14"/>
        <v>DNV-T I - 39</v>
      </c>
      <c r="B597" s="601">
        <v>39</v>
      </c>
      <c r="E597" s="600" t="s">
        <v>757</v>
      </c>
    </row>
    <row r="598" spans="1:5" x14ac:dyDescent="0.2">
      <c r="A598" s="601" t="str">
        <f t="shared" si="14"/>
        <v>DNV-T I - 40</v>
      </c>
      <c r="B598" s="601">
        <v>40</v>
      </c>
      <c r="E598" s="600" t="s">
        <v>758</v>
      </c>
    </row>
    <row r="599" spans="1:5" x14ac:dyDescent="0.2">
      <c r="A599" s="601" t="str">
        <f t="shared" si="14"/>
        <v>DNV-T I - 41</v>
      </c>
      <c r="B599" s="601">
        <v>41</v>
      </c>
      <c r="E599" s="600" t="s">
        <v>759</v>
      </c>
    </row>
    <row r="600" spans="1:5" x14ac:dyDescent="0.2">
      <c r="A600" s="601" t="str">
        <f t="shared" si="14"/>
        <v>DNV-T I - 42</v>
      </c>
      <c r="B600" s="601">
        <v>42</v>
      </c>
      <c r="E600" s="600" t="s">
        <v>760</v>
      </c>
    </row>
    <row r="601" spans="1:5" x14ac:dyDescent="0.2">
      <c r="A601" s="601" t="str">
        <f t="shared" si="14"/>
        <v>DNV-T I - 43</v>
      </c>
      <c r="B601" s="601">
        <v>43</v>
      </c>
      <c r="E601" s="600" t="s">
        <v>761</v>
      </c>
    </row>
    <row r="602" spans="1:5" x14ac:dyDescent="0.2">
      <c r="A602" s="601" t="str">
        <f t="shared" si="14"/>
        <v>DNV-T I - 44</v>
      </c>
      <c r="B602" s="601">
        <v>44</v>
      </c>
      <c r="E602" s="600" t="s">
        <v>762</v>
      </c>
    </row>
    <row r="603" spans="1:5" x14ac:dyDescent="0.2">
      <c r="A603" s="601" t="str">
        <f t="shared" si="14"/>
        <v>DNV-T I - 45</v>
      </c>
      <c r="B603" s="601">
        <v>45</v>
      </c>
      <c r="E603" s="600" t="s">
        <v>763</v>
      </c>
    </row>
    <row r="604" spans="1:5" x14ac:dyDescent="0.2">
      <c r="A604" s="601" t="str">
        <f t="shared" si="14"/>
        <v>DNV-T I - 46</v>
      </c>
      <c r="B604" s="601">
        <v>46</v>
      </c>
      <c r="E604" s="600" t="s">
        <v>764</v>
      </c>
    </row>
    <row r="605" spans="1:5" x14ac:dyDescent="0.2">
      <c r="A605" s="601" t="str">
        <f t="shared" si="14"/>
        <v>DNV-T I - 47</v>
      </c>
      <c r="B605" s="601">
        <v>47</v>
      </c>
      <c r="E605" s="600" t="s">
        <v>765</v>
      </c>
    </row>
    <row r="606" spans="1:5" x14ac:dyDescent="0.2">
      <c r="A606" s="601" t="str">
        <f t="shared" si="14"/>
        <v>DNV-T I - 48</v>
      </c>
      <c r="B606" s="601">
        <v>48</v>
      </c>
      <c r="E606" s="600" t="s">
        <v>766</v>
      </c>
    </row>
    <row r="607" spans="1:5" x14ac:dyDescent="0.2">
      <c r="A607" s="601" t="str">
        <f t="shared" si="14"/>
        <v>DNV-T I - 49</v>
      </c>
      <c r="B607" s="601">
        <v>49</v>
      </c>
      <c r="E607" s="600" t="s">
        <v>767</v>
      </c>
    </row>
    <row r="608" spans="1:5" x14ac:dyDescent="0.2">
      <c r="A608" s="601" t="str">
        <f t="shared" si="14"/>
        <v>DNV-T I - 50</v>
      </c>
      <c r="B608" s="601">
        <v>50</v>
      </c>
      <c r="E608" s="600" t="s">
        <v>768</v>
      </c>
    </row>
    <row r="609" spans="1:5" x14ac:dyDescent="0.2">
      <c r="A609" s="601" t="str">
        <f t="shared" si="14"/>
        <v>DNV-T I - 51</v>
      </c>
      <c r="B609" s="601">
        <v>51</v>
      </c>
      <c r="E609" s="600" t="s">
        <v>769</v>
      </c>
    </row>
    <row r="610" spans="1:5" x14ac:dyDescent="0.2">
      <c r="A610" s="601" t="str">
        <f t="shared" si="14"/>
        <v>DNV-T I - 52</v>
      </c>
      <c r="B610" s="601">
        <v>52</v>
      </c>
      <c r="E610" s="600" t="s">
        <v>770</v>
      </c>
    </row>
    <row r="611" spans="1:5" x14ac:dyDescent="0.2">
      <c r="A611" s="601" t="str">
        <f t="shared" si="14"/>
        <v>DNV-T I - 53</v>
      </c>
      <c r="B611" s="601">
        <v>53</v>
      </c>
      <c r="E611" s="600" t="s">
        <v>771</v>
      </c>
    </row>
    <row r="612" spans="1:5" x14ac:dyDescent="0.2">
      <c r="A612" s="601" t="str">
        <f t="shared" si="14"/>
        <v>DNV-T I - 54</v>
      </c>
      <c r="B612" s="601">
        <v>54</v>
      </c>
      <c r="E612" s="600" t="s">
        <v>772</v>
      </c>
    </row>
    <row r="613" spans="1:5" x14ac:dyDescent="0.2">
      <c r="A613" s="601" t="str">
        <f t="shared" si="14"/>
        <v>DNV-T I - 55</v>
      </c>
      <c r="B613" s="601">
        <v>55</v>
      </c>
      <c r="E613" s="600" t="s">
        <v>773</v>
      </c>
    </row>
    <row r="614" spans="1:5" x14ac:dyDescent="0.2">
      <c r="A614" s="601" t="str">
        <f t="shared" si="14"/>
        <v>DNV-T I - 56</v>
      </c>
      <c r="B614" s="601">
        <v>56</v>
      </c>
      <c r="E614" s="600" t="s">
        <v>774</v>
      </c>
    </row>
    <row r="615" spans="1:5" x14ac:dyDescent="0.2">
      <c r="A615" s="601" t="str">
        <f t="shared" si="14"/>
        <v>DNV-T I - 57</v>
      </c>
      <c r="B615" s="601">
        <v>57</v>
      </c>
      <c r="E615" s="600" t="s">
        <v>775</v>
      </c>
    </row>
    <row r="616" spans="1:5" x14ac:dyDescent="0.2">
      <c r="A616" s="601" t="str">
        <f t="shared" si="14"/>
        <v>DNV-T I - 58</v>
      </c>
      <c r="B616" s="601">
        <v>58</v>
      </c>
      <c r="E616" s="600" t="s">
        <v>776</v>
      </c>
    </row>
    <row r="617" spans="1:5" x14ac:dyDescent="0.2">
      <c r="A617" s="601" t="str">
        <f t="shared" si="14"/>
        <v>DNV-T I - 59</v>
      </c>
      <c r="B617" s="601">
        <v>59</v>
      </c>
      <c r="E617" s="600" t="s">
        <v>777</v>
      </c>
    </row>
    <row r="618" spans="1:5" x14ac:dyDescent="0.2">
      <c r="A618" s="601" t="str">
        <f t="shared" si="14"/>
        <v>DNV-T I - 60</v>
      </c>
      <c r="B618" s="601">
        <v>60</v>
      </c>
      <c r="E618" s="600" t="s">
        <v>778</v>
      </c>
    </row>
    <row r="619" spans="1:5" x14ac:dyDescent="0.2">
      <c r="A619" s="601" t="str">
        <f t="shared" si="14"/>
        <v>DNV-T I - 61</v>
      </c>
      <c r="B619" s="601">
        <v>61</v>
      </c>
      <c r="E619" s="600" t="s">
        <v>779</v>
      </c>
    </row>
    <row r="620" spans="1:5" x14ac:dyDescent="0.2">
      <c r="A620" s="601" t="str">
        <f t="shared" si="14"/>
        <v>DNV-T I - 62</v>
      </c>
      <c r="B620" s="601">
        <v>62</v>
      </c>
      <c r="E620" s="600" t="s">
        <v>780</v>
      </c>
    </row>
    <row r="621" spans="1:5" x14ac:dyDescent="0.2">
      <c r="A621" s="601" t="str">
        <f t="shared" si="14"/>
        <v>DNV-T I - 63</v>
      </c>
      <c r="B621" s="601">
        <v>63</v>
      </c>
      <c r="E621" s="600" t="s">
        <v>781</v>
      </c>
    </row>
    <row r="622" spans="1:5" x14ac:dyDescent="0.2">
      <c r="A622" s="601" t="str">
        <f t="shared" si="14"/>
        <v>DNV-T I - 64</v>
      </c>
      <c r="B622" s="601">
        <v>64</v>
      </c>
      <c r="E622" s="600" t="s">
        <v>782</v>
      </c>
    </row>
    <row r="623" spans="1:5" x14ac:dyDescent="0.2">
      <c r="A623" s="601" t="str">
        <f t="shared" ref="A623:A676" si="15">CONCATENATE("DNV-T I - ",B623)</f>
        <v>DNV-T I - 65</v>
      </c>
      <c r="B623" s="601">
        <v>65</v>
      </c>
      <c r="E623" s="600" t="s">
        <v>783</v>
      </c>
    </row>
    <row r="624" spans="1:5" x14ac:dyDescent="0.2">
      <c r="A624" s="601" t="str">
        <f t="shared" si="15"/>
        <v>DNV-T I - 66</v>
      </c>
      <c r="B624" s="601">
        <v>66</v>
      </c>
      <c r="E624" s="600" t="s">
        <v>784</v>
      </c>
    </row>
    <row r="625" spans="1:5" x14ac:dyDescent="0.2">
      <c r="A625" s="601" t="str">
        <f t="shared" si="15"/>
        <v>DNV-T I - 67</v>
      </c>
      <c r="B625" s="601">
        <v>67</v>
      </c>
      <c r="E625" s="600" t="s">
        <v>785</v>
      </c>
    </row>
    <row r="626" spans="1:5" x14ac:dyDescent="0.2">
      <c r="A626" s="601" t="str">
        <f t="shared" si="15"/>
        <v>DNV-T I - 68</v>
      </c>
      <c r="B626" s="601">
        <v>68</v>
      </c>
      <c r="E626" s="600" t="s">
        <v>786</v>
      </c>
    </row>
    <row r="627" spans="1:5" x14ac:dyDescent="0.2">
      <c r="A627" s="601" t="str">
        <f t="shared" si="15"/>
        <v>DNV-T I - 69</v>
      </c>
      <c r="B627" s="601">
        <v>69</v>
      </c>
      <c r="E627" s="600" t="s">
        <v>787</v>
      </c>
    </row>
    <row r="628" spans="1:5" x14ac:dyDescent="0.2">
      <c r="A628" s="601" t="str">
        <f t="shared" si="15"/>
        <v>DNV-T I - 70</v>
      </c>
      <c r="B628" s="601">
        <v>70</v>
      </c>
      <c r="E628" s="600" t="s">
        <v>788</v>
      </c>
    </row>
    <row r="629" spans="1:5" x14ac:dyDescent="0.2">
      <c r="A629" s="601" t="str">
        <f t="shared" si="15"/>
        <v>DNV-T I - 71</v>
      </c>
      <c r="B629" s="601">
        <v>71</v>
      </c>
      <c r="E629" s="600" t="s">
        <v>789</v>
      </c>
    </row>
    <row r="630" spans="1:5" x14ac:dyDescent="0.2">
      <c r="A630" s="601" t="str">
        <f t="shared" si="15"/>
        <v>DNV-T I - 72</v>
      </c>
      <c r="B630" s="601">
        <v>72</v>
      </c>
      <c r="E630" s="600" t="s">
        <v>790</v>
      </c>
    </row>
    <row r="631" spans="1:5" x14ac:dyDescent="0.2">
      <c r="A631" s="601" t="str">
        <f t="shared" si="15"/>
        <v>DNV-T I - 73</v>
      </c>
      <c r="B631" s="601">
        <v>73</v>
      </c>
      <c r="E631" s="600" t="s">
        <v>791</v>
      </c>
    </row>
    <row r="632" spans="1:5" x14ac:dyDescent="0.2">
      <c r="A632" s="601" t="str">
        <f t="shared" si="15"/>
        <v>DNV-T I - 74</v>
      </c>
      <c r="B632" s="601">
        <v>74</v>
      </c>
      <c r="E632" s="600" t="s">
        <v>792</v>
      </c>
    </row>
    <row r="633" spans="1:5" x14ac:dyDescent="0.2">
      <c r="A633" s="601" t="str">
        <f t="shared" si="15"/>
        <v>DNV-T I - 75</v>
      </c>
      <c r="B633" s="601">
        <v>75</v>
      </c>
      <c r="E633" s="600" t="s">
        <v>793</v>
      </c>
    </row>
    <row r="634" spans="1:5" x14ac:dyDescent="0.2">
      <c r="A634" s="601" t="str">
        <f t="shared" si="15"/>
        <v>DNV-T I - 76</v>
      </c>
      <c r="B634" s="601">
        <v>76</v>
      </c>
      <c r="E634" s="600" t="s">
        <v>794</v>
      </c>
    </row>
    <row r="635" spans="1:5" x14ac:dyDescent="0.2">
      <c r="A635" s="601" t="str">
        <f t="shared" si="15"/>
        <v>DNV-T I - 77</v>
      </c>
      <c r="B635" s="601">
        <v>77</v>
      </c>
      <c r="E635" s="600" t="s">
        <v>795</v>
      </c>
    </row>
    <row r="636" spans="1:5" x14ac:dyDescent="0.2">
      <c r="A636" s="601" t="str">
        <f t="shared" si="15"/>
        <v>DNV-T I - 78</v>
      </c>
      <c r="B636" s="601">
        <v>78</v>
      </c>
      <c r="E636" s="600" t="s">
        <v>796</v>
      </c>
    </row>
    <row r="637" spans="1:5" x14ac:dyDescent="0.2">
      <c r="A637" s="601" t="str">
        <f t="shared" si="15"/>
        <v>DNV-T I - 79</v>
      </c>
      <c r="B637" s="601">
        <v>79</v>
      </c>
      <c r="E637" s="600" t="s">
        <v>797</v>
      </c>
    </row>
    <row r="638" spans="1:5" x14ac:dyDescent="0.2">
      <c r="A638" s="601" t="str">
        <f t="shared" si="15"/>
        <v>DNV-T I - 80</v>
      </c>
      <c r="B638" s="601">
        <v>80</v>
      </c>
      <c r="E638" s="600" t="s">
        <v>798</v>
      </c>
    </row>
    <row r="639" spans="1:5" x14ac:dyDescent="0.2">
      <c r="A639" s="601" t="str">
        <f t="shared" si="15"/>
        <v>DNV-T I - 81</v>
      </c>
      <c r="B639" s="601">
        <v>81</v>
      </c>
      <c r="E639" s="600" t="s">
        <v>799</v>
      </c>
    </row>
    <row r="640" spans="1:5" x14ac:dyDescent="0.2">
      <c r="A640" s="601" t="str">
        <f t="shared" si="15"/>
        <v>DNV-T I - 82</v>
      </c>
      <c r="B640" s="601">
        <v>82</v>
      </c>
      <c r="E640" s="600" t="s">
        <v>800</v>
      </c>
    </row>
    <row r="641" spans="1:5" x14ac:dyDescent="0.2">
      <c r="A641" s="601" t="str">
        <f t="shared" si="15"/>
        <v>DNV-T I - 83</v>
      </c>
      <c r="B641" s="601">
        <v>83</v>
      </c>
      <c r="E641" s="600" t="s">
        <v>801</v>
      </c>
    </row>
    <row r="642" spans="1:5" x14ac:dyDescent="0.2">
      <c r="A642" s="601" t="str">
        <f t="shared" si="15"/>
        <v>DNV-T I - 84</v>
      </c>
      <c r="B642" s="601">
        <v>84</v>
      </c>
      <c r="E642" s="600" t="s">
        <v>802</v>
      </c>
    </row>
    <row r="643" spans="1:5" x14ac:dyDescent="0.2">
      <c r="A643" s="601" t="str">
        <f t="shared" si="15"/>
        <v>DNV-T I - 85</v>
      </c>
      <c r="B643" s="601">
        <v>85</v>
      </c>
      <c r="E643" s="600" t="s">
        <v>803</v>
      </c>
    </row>
    <row r="644" spans="1:5" x14ac:dyDescent="0.2">
      <c r="A644" s="601" t="str">
        <f t="shared" si="15"/>
        <v>DNV-T I - 86</v>
      </c>
      <c r="B644" s="601">
        <v>86</v>
      </c>
      <c r="E644" s="600" t="s">
        <v>804</v>
      </c>
    </row>
    <row r="645" spans="1:5" x14ac:dyDescent="0.2">
      <c r="A645" s="601" t="str">
        <f t="shared" si="15"/>
        <v>DNV-T I - 86.1</v>
      </c>
      <c r="B645" s="601" t="s">
        <v>805</v>
      </c>
      <c r="E645" s="600" t="s">
        <v>806</v>
      </c>
    </row>
    <row r="646" spans="1:5" x14ac:dyDescent="0.2">
      <c r="A646" s="601" t="str">
        <f t="shared" si="15"/>
        <v>DNV-T I - 86.1.1</v>
      </c>
      <c r="B646" s="601" t="s">
        <v>807</v>
      </c>
      <c r="E646" s="600" t="s">
        <v>808</v>
      </c>
    </row>
    <row r="647" spans="1:5" x14ac:dyDescent="0.2">
      <c r="A647" s="601" t="str">
        <f t="shared" si="15"/>
        <v>DNV-T I - 86.1.2</v>
      </c>
      <c r="B647" s="601" t="s">
        <v>809</v>
      </c>
      <c r="E647" s="600" t="s">
        <v>810</v>
      </c>
    </row>
    <row r="648" spans="1:5" x14ac:dyDescent="0.2">
      <c r="A648" s="601" t="str">
        <f t="shared" si="15"/>
        <v>DNV-T I - 86.1.3</v>
      </c>
      <c r="B648" s="601" t="s">
        <v>811</v>
      </c>
      <c r="E648" s="600" t="s">
        <v>812</v>
      </c>
    </row>
    <row r="649" spans="1:5" x14ac:dyDescent="0.2">
      <c r="A649" s="601" t="str">
        <f t="shared" si="15"/>
        <v>DNV-T I - 86.1.4</v>
      </c>
      <c r="B649" s="601" t="s">
        <v>813</v>
      </c>
      <c r="E649" s="600" t="s">
        <v>814</v>
      </c>
    </row>
    <row r="650" spans="1:5" x14ac:dyDescent="0.2">
      <c r="A650" s="601" t="str">
        <f t="shared" si="15"/>
        <v>DNV-T I - 86.1.5</v>
      </c>
      <c r="B650" s="601" t="s">
        <v>815</v>
      </c>
      <c r="E650" s="600" t="s">
        <v>816</v>
      </c>
    </row>
    <row r="651" spans="1:5" x14ac:dyDescent="0.2">
      <c r="A651" s="601" t="str">
        <f t="shared" si="15"/>
        <v>DNV-T I - 86.2</v>
      </c>
      <c r="B651" s="601" t="s">
        <v>817</v>
      </c>
      <c r="E651" s="600" t="s">
        <v>818</v>
      </c>
    </row>
    <row r="652" spans="1:5" x14ac:dyDescent="0.2">
      <c r="A652" s="601" t="str">
        <f t="shared" si="15"/>
        <v>DNV-T I - 86.2.1</v>
      </c>
      <c r="B652" s="601" t="s">
        <v>819</v>
      </c>
      <c r="E652" s="600" t="s">
        <v>808</v>
      </c>
    </row>
    <row r="653" spans="1:5" x14ac:dyDescent="0.2">
      <c r="A653" s="601" t="str">
        <f t="shared" si="15"/>
        <v>DNV-T I - 86.2.2</v>
      </c>
      <c r="B653" s="601" t="s">
        <v>820</v>
      </c>
      <c r="E653" s="600" t="s">
        <v>821</v>
      </c>
    </row>
    <row r="654" spans="1:5" x14ac:dyDescent="0.2">
      <c r="A654" s="601" t="str">
        <f t="shared" si="15"/>
        <v>DNV-T I - 86.2.3</v>
      </c>
      <c r="B654" s="601" t="s">
        <v>822</v>
      </c>
      <c r="E654" s="600" t="s">
        <v>810</v>
      </c>
    </row>
    <row r="655" spans="1:5" x14ac:dyDescent="0.2">
      <c r="A655" s="601" t="str">
        <f t="shared" si="15"/>
        <v>DNV-T I - 86.2.4</v>
      </c>
      <c r="B655" s="601" t="s">
        <v>823</v>
      </c>
      <c r="E655" s="600" t="s">
        <v>812</v>
      </c>
    </row>
    <row r="656" spans="1:5" x14ac:dyDescent="0.2">
      <c r="A656" s="601" t="str">
        <f t="shared" si="15"/>
        <v>DNV-T I - 86.2.5</v>
      </c>
      <c r="B656" s="601" t="s">
        <v>824</v>
      </c>
      <c r="E656" s="600" t="s">
        <v>814</v>
      </c>
    </row>
    <row r="657" spans="1:5" x14ac:dyDescent="0.2">
      <c r="A657" s="601" t="str">
        <f t="shared" si="15"/>
        <v>DNV-T I - 86.2.6</v>
      </c>
      <c r="B657" s="601" t="s">
        <v>825</v>
      </c>
      <c r="E657" s="600" t="s">
        <v>816</v>
      </c>
    </row>
    <row r="658" spans="1:5" x14ac:dyDescent="0.2">
      <c r="A658" s="601" t="str">
        <f t="shared" si="15"/>
        <v>DNV-T I - 87</v>
      </c>
      <c r="B658" s="601">
        <v>87</v>
      </c>
      <c r="E658" s="600" t="s">
        <v>826</v>
      </c>
    </row>
    <row r="659" spans="1:5" x14ac:dyDescent="0.2">
      <c r="A659" s="601" t="str">
        <f t="shared" si="15"/>
        <v>DNV-T I - 88</v>
      </c>
      <c r="B659" s="601">
        <v>88</v>
      </c>
      <c r="E659" s="600" t="s">
        <v>827</v>
      </c>
    </row>
    <row r="660" spans="1:5" x14ac:dyDescent="0.2">
      <c r="A660" s="601" t="str">
        <f t="shared" si="15"/>
        <v>DNV-T I - 89</v>
      </c>
      <c r="B660" s="601">
        <v>89</v>
      </c>
      <c r="E660" s="600" t="s">
        <v>828</v>
      </c>
    </row>
    <row r="661" spans="1:5" x14ac:dyDescent="0.2">
      <c r="A661" s="601" t="str">
        <f t="shared" si="15"/>
        <v>DNV-T I - 90</v>
      </c>
      <c r="B661" s="601">
        <v>90</v>
      </c>
      <c r="E661" s="600" t="s">
        <v>829</v>
      </c>
    </row>
    <row r="662" spans="1:5" x14ac:dyDescent="0.2">
      <c r="A662" s="601" t="str">
        <f t="shared" si="15"/>
        <v>DNV-T I - 91</v>
      </c>
      <c r="B662" s="601">
        <v>91</v>
      </c>
      <c r="E662" s="600" t="s">
        <v>830</v>
      </c>
    </row>
    <row r="663" spans="1:5" x14ac:dyDescent="0.2">
      <c r="A663" s="601" t="str">
        <f t="shared" si="15"/>
        <v>DNV-T I - 92</v>
      </c>
      <c r="B663" s="601">
        <v>92</v>
      </c>
      <c r="E663" s="600" t="s">
        <v>831</v>
      </c>
    </row>
    <row r="664" spans="1:5" x14ac:dyDescent="0.2">
      <c r="A664" s="601" t="str">
        <f t="shared" si="15"/>
        <v>DNV-T I - 93</v>
      </c>
      <c r="B664" s="601">
        <v>93</v>
      </c>
      <c r="E664" s="600" t="s">
        <v>832</v>
      </c>
    </row>
    <row r="665" spans="1:5" x14ac:dyDescent="0.2">
      <c r="A665" s="601" t="str">
        <f t="shared" si="15"/>
        <v>DNV-T I - 94</v>
      </c>
      <c r="B665" s="601">
        <v>94</v>
      </c>
      <c r="E665" s="600" t="s">
        <v>833</v>
      </c>
    </row>
    <row r="666" spans="1:5" x14ac:dyDescent="0.2">
      <c r="A666" s="601" t="str">
        <f t="shared" si="15"/>
        <v>DNV-T I - 95</v>
      </c>
      <c r="B666" s="601">
        <v>95</v>
      </c>
      <c r="E666" s="600" t="s">
        <v>834</v>
      </c>
    </row>
    <row r="667" spans="1:5" x14ac:dyDescent="0.2">
      <c r="A667" s="601" t="str">
        <f t="shared" si="15"/>
        <v>DNV-T I - 96</v>
      </c>
      <c r="B667" s="601">
        <v>96</v>
      </c>
      <c r="E667" s="600" t="s">
        <v>835</v>
      </c>
    </row>
    <row r="668" spans="1:5" x14ac:dyDescent="0.2">
      <c r="A668" s="601" t="str">
        <f t="shared" si="15"/>
        <v>DNV-T I - 97</v>
      </c>
      <c r="B668" s="601">
        <v>97</v>
      </c>
      <c r="E668" s="600" t="s">
        <v>836</v>
      </c>
    </row>
    <row r="669" spans="1:5" x14ac:dyDescent="0.2">
      <c r="A669" s="601" t="str">
        <f t="shared" si="15"/>
        <v>DNV-T I - 98</v>
      </c>
      <c r="B669" s="601">
        <v>98</v>
      </c>
      <c r="E669" s="600" t="s">
        <v>837</v>
      </c>
    </row>
    <row r="670" spans="1:5" x14ac:dyDescent="0.2">
      <c r="A670" s="601" t="str">
        <f t="shared" si="15"/>
        <v>DNV-T I - 99</v>
      </c>
      <c r="B670" s="601">
        <v>99</v>
      </c>
      <c r="E670" s="600" t="s">
        <v>838</v>
      </c>
    </row>
    <row r="671" spans="1:5" x14ac:dyDescent="0.2">
      <c r="A671" s="601" t="str">
        <f t="shared" si="15"/>
        <v>DNV-T I - 100</v>
      </c>
      <c r="B671" s="601">
        <v>100</v>
      </c>
      <c r="E671" s="600" t="s">
        <v>839</v>
      </c>
    </row>
    <row r="672" spans="1:5" x14ac:dyDescent="0.2">
      <c r="A672" s="601" t="str">
        <f t="shared" si="15"/>
        <v>DNV-T I - 101</v>
      </c>
      <c r="B672" s="601">
        <v>101</v>
      </c>
      <c r="E672" s="600" t="s">
        <v>840</v>
      </c>
    </row>
    <row r="673" spans="1:7" x14ac:dyDescent="0.2">
      <c r="A673" s="601" t="str">
        <f t="shared" si="15"/>
        <v>DNV-T I - 102</v>
      </c>
      <c r="B673" s="601">
        <v>102</v>
      </c>
      <c r="E673" s="600" t="s">
        <v>841</v>
      </c>
    </row>
    <row r="674" spans="1:7" x14ac:dyDescent="0.2">
      <c r="A674" s="601" t="str">
        <f t="shared" si="15"/>
        <v>DNV-T I - 103</v>
      </c>
      <c r="B674" s="601">
        <v>103</v>
      </c>
      <c r="E674" s="600" t="s">
        <v>842</v>
      </c>
    </row>
    <row r="675" spans="1:7" x14ac:dyDescent="0.2">
      <c r="A675" s="601" t="str">
        <f t="shared" si="15"/>
        <v>DNV-T I - 104</v>
      </c>
      <c r="B675" s="601">
        <v>104</v>
      </c>
      <c r="E675" s="600" t="s">
        <v>843</v>
      </c>
    </row>
    <row r="676" spans="1:7" x14ac:dyDescent="0.2">
      <c r="A676" s="601" t="str">
        <f t="shared" si="15"/>
        <v>DNV-T I - 105</v>
      </c>
      <c r="B676" s="601">
        <v>105</v>
      </c>
      <c r="E676" s="600" t="s">
        <v>844</v>
      </c>
    </row>
    <row r="678" spans="1:7" x14ac:dyDescent="0.2">
      <c r="A678" s="632"/>
      <c r="B678" s="599" t="s">
        <v>845</v>
      </c>
      <c r="C678" s="599"/>
      <c r="D678" s="633"/>
      <c r="E678" s="632"/>
      <c r="F678" s="634"/>
      <c r="G678" s="634"/>
    </row>
    <row r="679" spans="1:7" x14ac:dyDescent="0.2">
      <c r="A679" s="601" t="str">
        <f t="shared" ref="A679:A713" si="16">CONCATENATE("DNV-TRC - ",E679)</f>
        <v>DNV-TRC - 1</v>
      </c>
      <c r="E679" s="635">
        <v>1</v>
      </c>
    </row>
    <row r="680" spans="1:7" x14ac:dyDescent="0.2">
      <c r="A680" s="601" t="str">
        <f t="shared" si="16"/>
        <v>DNV-TRC - 1.5</v>
      </c>
      <c r="E680" s="635">
        <v>1.5</v>
      </c>
    </row>
    <row r="681" spans="1:7" x14ac:dyDescent="0.2">
      <c r="A681" s="601" t="str">
        <f t="shared" si="16"/>
        <v>DNV-TRC - 2</v>
      </c>
      <c r="E681" s="635">
        <v>2</v>
      </c>
    </row>
    <row r="682" spans="1:7" x14ac:dyDescent="0.2">
      <c r="A682" s="601" t="str">
        <f t="shared" si="16"/>
        <v>DNV-TRC - 2.5</v>
      </c>
      <c r="E682" s="635">
        <v>2.5</v>
      </c>
    </row>
    <row r="683" spans="1:7" x14ac:dyDescent="0.2">
      <c r="A683" s="601" t="str">
        <f t="shared" si="16"/>
        <v>DNV-TRC - 3</v>
      </c>
      <c r="E683" s="635">
        <v>3</v>
      </c>
    </row>
    <row r="684" spans="1:7" x14ac:dyDescent="0.2">
      <c r="A684" s="601" t="str">
        <f t="shared" si="16"/>
        <v>DNV-TRC - 3.5</v>
      </c>
      <c r="E684" s="635">
        <v>3.5</v>
      </c>
    </row>
    <row r="685" spans="1:7" x14ac:dyDescent="0.2">
      <c r="A685" s="601" t="str">
        <f t="shared" si="16"/>
        <v>DNV-TRC - 4</v>
      </c>
      <c r="E685" s="635">
        <v>4</v>
      </c>
    </row>
    <row r="686" spans="1:7" x14ac:dyDescent="0.2">
      <c r="A686" s="601" t="str">
        <f t="shared" si="16"/>
        <v>DNV-TRC - 4.5</v>
      </c>
      <c r="E686" s="635">
        <v>4.5</v>
      </c>
    </row>
    <row r="687" spans="1:7" x14ac:dyDescent="0.2">
      <c r="A687" s="601" t="str">
        <f t="shared" si="16"/>
        <v>DNV-TRC - 5</v>
      </c>
      <c r="E687" s="635">
        <v>5</v>
      </c>
    </row>
    <row r="688" spans="1:7" x14ac:dyDescent="0.2">
      <c r="A688" s="601" t="str">
        <f t="shared" si="16"/>
        <v>DNV-TRC - 6</v>
      </c>
      <c r="E688" s="635">
        <v>6</v>
      </c>
    </row>
    <row r="689" spans="1:5" x14ac:dyDescent="0.2">
      <c r="A689" s="601" t="str">
        <f t="shared" si="16"/>
        <v>DNV-TRC - 7</v>
      </c>
      <c r="E689" s="635">
        <v>7</v>
      </c>
    </row>
    <row r="690" spans="1:5" x14ac:dyDescent="0.2">
      <c r="A690" s="601" t="str">
        <f t="shared" si="16"/>
        <v>DNV-TRC - 8</v>
      </c>
      <c r="E690" s="635">
        <v>8</v>
      </c>
    </row>
    <row r="691" spans="1:5" x14ac:dyDescent="0.2">
      <c r="A691" s="601" t="str">
        <f t="shared" si="16"/>
        <v>DNV-TRC - 9</v>
      </c>
      <c r="E691" s="635">
        <v>9</v>
      </c>
    </row>
    <row r="692" spans="1:5" x14ac:dyDescent="0.2">
      <c r="A692" s="601" t="str">
        <f t="shared" si="16"/>
        <v>DNV-TRC - 10</v>
      </c>
      <c r="E692" s="635">
        <v>10</v>
      </c>
    </row>
    <row r="693" spans="1:5" x14ac:dyDescent="0.2">
      <c r="A693" s="601" t="str">
        <f t="shared" si="16"/>
        <v>DNV-TRC - 12</v>
      </c>
      <c r="E693" s="635">
        <v>12</v>
      </c>
    </row>
    <row r="694" spans="1:5" x14ac:dyDescent="0.2">
      <c r="A694" s="601" t="str">
        <f t="shared" si="16"/>
        <v>DNV-TRC - 15</v>
      </c>
      <c r="E694" s="635">
        <v>15</v>
      </c>
    </row>
    <row r="695" spans="1:5" x14ac:dyDescent="0.2">
      <c r="A695" s="601" t="str">
        <f t="shared" si="16"/>
        <v>DNV-TRC - 17</v>
      </c>
      <c r="E695" s="635">
        <v>17</v>
      </c>
    </row>
    <row r="696" spans="1:5" x14ac:dyDescent="0.2">
      <c r="A696" s="601" t="str">
        <f t="shared" si="16"/>
        <v>DNV-TRC - 19</v>
      </c>
      <c r="E696" s="635">
        <v>19</v>
      </c>
    </row>
    <row r="697" spans="1:5" x14ac:dyDescent="0.2">
      <c r="A697" s="601" t="str">
        <f t="shared" si="16"/>
        <v>DNV-TRC - 20</v>
      </c>
      <c r="E697" s="635">
        <v>20</v>
      </c>
    </row>
    <row r="698" spans="1:5" x14ac:dyDescent="0.2">
      <c r="A698" s="601" t="str">
        <f t="shared" si="16"/>
        <v>DNV-TRC - 25</v>
      </c>
      <c r="E698" s="635">
        <v>25</v>
      </c>
    </row>
    <row r="699" spans="1:5" x14ac:dyDescent="0.2">
      <c r="A699" s="601" t="str">
        <f t="shared" si="16"/>
        <v>DNV-TRC - 30</v>
      </c>
      <c r="E699" s="635">
        <v>30</v>
      </c>
    </row>
    <row r="700" spans="1:5" x14ac:dyDescent="0.2">
      <c r="A700" s="601" t="str">
        <f t="shared" si="16"/>
        <v>DNV-TRC - 35</v>
      </c>
      <c r="E700" s="635">
        <v>35</v>
      </c>
    </row>
    <row r="701" spans="1:5" x14ac:dyDescent="0.2">
      <c r="A701" s="601" t="str">
        <f t="shared" si="16"/>
        <v>DNV-TRC - 40</v>
      </c>
      <c r="E701" s="635">
        <v>40</v>
      </c>
    </row>
    <row r="702" spans="1:5" x14ac:dyDescent="0.2">
      <c r="A702" s="601" t="str">
        <f t="shared" si="16"/>
        <v>DNV-TRC - 45</v>
      </c>
      <c r="E702" s="635">
        <v>45</v>
      </c>
    </row>
    <row r="703" spans="1:5" x14ac:dyDescent="0.2">
      <c r="A703" s="601" t="str">
        <f t="shared" si="16"/>
        <v>DNV-TRC - 50</v>
      </c>
      <c r="E703" s="635">
        <v>50</v>
      </c>
    </row>
    <row r="704" spans="1:5" x14ac:dyDescent="0.2">
      <c r="A704" s="601" t="str">
        <f t="shared" si="16"/>
        <v>DNV-TRC - 55</v>
      </c>
      <c r="E704" s="635">
        <v>55</v>
      </c>
    </row>
    <row r="705" spans="1:7" x14ac:dyDescent="0.2">
      <c r="A705" s="601" t="str">
        <f t="shared" si="16"/>
        <v>DNV-TRC - 60</v>
      </c>
      <c r="E705" s="635">
        <v>60</v>
      </c>
    </row>
    <row r="706" spans="1:7" x14ac:dyDescent="0.2">
      <c r="A706" s="601" t="str">
        <f t="shared" si="16"/>
        <v>DNV-TRC - 65</v>
      </c>
      <c r="E706" s="635">
        <v>65</v>
      </c>
    </row>
    <row r="707" spans="1:7" x14ac:dyDescent="0.2">
      <c r="A707" s="601" t="str">
        <f t="shared" si="16"/>
        <v>DNV-TRC - 70</v>
      </c>
      <c r="E707" s="635">
        <v>70</v>
      </c>
    </row>
    <row r="708" spans="1:7" x14ac:dyDescent="0.2">
      <c r="A708" s="601" t="str">
        <f t="shared" si="16"/>
        <v>DNV-TRC - 75</v>
      </c>
      <c r="E708" s="635">
        <v>75</v>
      </c>
    </row>
    <row r="709" spans="1:7" x14ac:dyDescent="0.2">
      <c r="A709" s="601" t="str">
        <f t="shared" si="16"/>
        <v>DNV-TRC - 80</v>
      </c>
      <c r="E709" s="635">
        <v>80</v>
      </c>
    </row>
    <row r="710" spans="1:7" x14ac:dyDescent="0.2">
      <c r="A710" s="601" t="str">
        <f t="shared" si="16"/>
        <v>DNV-TRC - 85</v>
      </c>
      <c r="E710" s="635">
        <v>85</v>
      </c>
    </row>
    <row r="711" spans="1:7" x14ac:dyDescent="0.2">
      <c r="A711" s="601" t="str">
        <f t="shared" si="16"/>
        <v>DNV-TRC - 90</v>
      </c>
      <c r="E711" s="635">
        <v>90</v>
      </c>
    </row>
    <row r="712" spans="1:7" x14ac:dyDescent="0.2">
      <c r="A712" s="601" t="str">
        <f t="shared" si="16"/>
        <v>DNV-TRC - 95</v>
      </c>
      <c r="E712" s="635">
        <v>95</v>
      </c>
    </row>
    <row r="713" spans="1:7" x14ac:dyDescent="0.2">
      <c r="A713" s="601" t="str">
        <f t="shared" si="16"/>
        <v>DNV-TRC - 100</v>
      </c>
      <c r="E713" s="635">
        <v>100</v>
      </c>
    </row>
    <row r="714" spans="1:7" x14ac:dyDescent="0.2">
      <c r="A714" s="601"/>
      <c r="E714" s="635"/>
    </row>
    <row r="716" spans="1:7" x14ac:dyDescent="0.2">
      <c r="A716" s="599"/>
      <c r="B716" s="599" t="s">
        <v>846</v>
      </c>
      <c r="C716" s="599"/>
      <c r="D716" s="599"/>
      <c r="E716" s="598"/>
      <c r="F716" s="598"/>
      <c r="G716" s="598"/>
    </row>
    <row r="717" spans="1:7" x14ac:dyDescent="0.2">
      <c r="A717" s="601" t="str">
        <f t="shared" ref="A717:A751" si="17">CONCATENATE("DNV-TRCA - ",E717)</f>
        <v>DNV-TRCA - 55</v>
      </c>
      <c r="E717" s="635">
        <v>55</v>
      </c>
    </row>
    <row r="718" spans="1:7" x14ac:dyDescent="0.2">
      <c r="A718" s="601" t="str">
        <f t="shared" si="17"/>
        <v>DNV-TRCA - 60</v>
      </c>
      <c r="E718" s="635">
        <v>60</v>
      </c>
    </row>
    <row r="719" spans="1:7" x14ac:dyDescent="0.2">
      <c r="A719" s="601" t="str">
        <f t="shared" si="17"/>
        <v>DNV-TRCA - 65</v>
      </c>
      <c r="E719" s="635">
        <v>65</v>
      </c>
    </row>
    <row r="720" spans="1:7" x14ac:dyDescent="0.2">
      <c r="A720" s="601" t="str">
        <f t="shared" si="17"/>
        <v>DNV-TRCA - 70</v>
      </c>
      <c r="E720" s="635">
        <v>70</v>
      </c>
    </row>
    <row r="721" spans="1:5" x14ac:dyDescent="0.2">
      <c r="A721" s="601" t="str">
        <f t="shared" si="17"/>
        <v>DNV-TRCA - 75</v>
      </c>
      <c r="E721" s="635">
        <v>75</v>
      </c>
    </row>
    <row r="722" spans="1:5" x14ac:dyDescent="0.2">
      <c r="A722" s="601" t="str">
        <f t="shared" si="17"/>
        <v>DNV-TRCA - 80</v>
      </c>
      <c r="E722" s="635">
        <v>80</v>
      </c>
    </row>
    <row r="723" spans="1:5" x14ac:dyDescent="0.2">
      <c r="A723" s="601" t="str">
        <f t="shared" si="17"/>
        <v>DNV-TRCA - 85</v>
      </c>
      <c r="E723" s="635">
        <v>85</v>
      </c>
    </row>
    <row r="724" spans="1:5" x14ac:dyDescent="0.2">
      <c r="A724" s="601" t="str">
        <f t="shared" si="17"/>
        <v>DNV-TRCA - 90</v>
      </c>
      <c r="E724" s="635">
        <v>90</v>
      </c>
    </row>
    <row r="725" spans="1:5" x14ac:dyDescent="0.2">
      <c r="A725" s="601" t="str">
        <f t="shared" si="17"/>
        <v>DNV-TRCA - 95</v>
      </c>
      <c r="E725" s="635">
        <v>95</v>
      </c>
    </row>
    <row r="726" spans="1:5" x14ac:dyDescent="0.2">
      <c r="A726" s="601" t="str">
        <f t="shared" si="17"/>
        <v>DNV-TRCA - 100</v>
      </c>
      <c r="E726" s="635">
        <v>100</v>
      </c>
    </row>
    <row r="727" spans="1:5" x14ac:dyDescent="0.2">
      <c r="A727" s="601" t="str">
        <f t="shared" si="17"/>
        <v>DNV-TRCA - 105</v>
      </c>
      <c r="E727" s="635">
        <v>105</v>
      </c>
    </row>
    <row r="728" spans="1:5" x14ac:dyDescent="0.2">
      <c r="A728" s="601" t="str">
        <f t="shared" si="17"/>
        <v>DNV-TRCA - 110</v>
      </c>
      <c r="E728" s="635">
        <v>110</v>
      </c>
    </row>
    <row r="729" spans="1:5" x14ac:dyDescent="0.2">
      <c r="A729" s="601" t="str">
        <f t="shared" si="17"/>
        <v>DNV-TRCA - 120</v>
      </c>
      <c r="E729" s="635">
        <v>120</v>
      </c>
    </row>
    <row r="730" spans="1:5" x14ac:dyDescent="0.2">
      <c r="A730" s="601" t="str">
        <f t="shared" si="17"/>
        <v>DNV-TRCA - 130</v>
      </c>
      <c r="E730" s="635">
        <v>130</v>
      </c>
    </row>
    <row r="731" spans="1:5" x14ac:dyDescent="0.2">
      <c r="A731" s="601" t="str">
        <f t="shared" si="17"/>
        <v>DNV-TRCA - 140</v>
      </c>
      <c r="E731" s="635">
        <v>140</v>
      </c>
    </row>
    <row r="732" spans="1:5" x14ac:dyDescent="0.2">
      <c r="A732" s="601" t="str">
        <f t="shared" si="17"/>
        <v>DNV-TRCA - 150</v>
      </c>
      <c r="E732" s="635">
        <v>150</v>
      </c>
    </row>
    <row r="733" spans="1:5" x14ac:dyDescent="0.2">
      <c r="A733" s="601" t="str">
        <f t="shared" si="17"/>
        <v>DNV-TRCA - 160</v>
      </c>
      <c r="E733" s="635">
        <v>160</v>
      </c>
    </row>
    <row r="734" spans="1:5" x14ac:dyDescent="0.2">
      <c r="A734" s="601" t="str">
        <f t="shared" si="17"/>
        <v>DNV-TRCA - 170</v>
      </c>
      <c r="E734" s="635">
        <v>170</v>
      </c>
    </row>
    <row r="735" spans="1:5" x14ac:dyDescent="0.2">
      <c r="A735" s="601" t="str">
        <f t="shared" si="17"/>
        <v>DNV-TRCA - 180</v>
      </c>
      <c r="E735" s="635">
        <v>180</v>
      </c>
    </row>
    <row r="736" spans="1:5" x14ac:dyDescent="0.2">
      <c r="A736" s="601" t="str">
        <f t="shared" si="17"/>
        <v>DNV-TRCA - 200</v>
      </c>
      <c r="E736" s="635">
        <v>200</v>
      </c>
    </row>
    <row r="737" spans="1:5" x14ac:dyDescent="0.2">
      <c r="A737" s="601" t="str">
        <f t="shared" si="17"/>
        <v>DNV-TRCA - 225</v>
      </c>
      <c r="E737" s="635">
        <v>225</v>
      </c>
    </row>
    <row r="738" spans="1:5" x14ac:dyDescent="0.2">
      <c r="A738" s="601" t="str">
        <f t="shared" si="17"/>
        <v>DNV-TRCA - 250</v>
      </c>
      <c r="E738" s="635">
        <v>250</v>
      </c>
    </row>
    <row r="739" spans="1:5" x14ac:dyDescent="0.2">
      <c r="A739" s="601" t="str">
        <f t="shared" si="17"/>
        <v>DNV-TRCA - 275</v>
      </c>
      <c r="E739" s="635">
        <v>275</v>
      </c>
    </row>
    <row r="740" spans="1:5" x14ac:dyDescent="0.2">
      <c r="A740" s="601" t="str">
        <f t="shared" si="17"/>
        <v>DNV-TRCA - 300</v>
      </c>
      <c r="E740" s="635">
        <v>300</v>
      </c>
    </row>
    <row r="741" spans="1:5" x14ac:dyDescent="0.2">
      <c r="A741" s="601" t="str">
        <f t="shared" si="17"/>
        <v>DNV-TRCA - 325</v>
      </c>
      <c r="E741" s="635">
        <v>325</v>
      </c>
    </row>
    <row r="742" spans="1:5" x14ac:dyDescent="0.2">
      <c r="A742" s="601" t="str">
        <f t="shared" si="17"/>
        <v>DNV-TRCA - 350</v>
      </c>
      <c r="E742" s="635">
        <v>350</v>
      </c>
    </row>
    <row r="743" spans="1:5" x14ac:dyDescent="0.2">
      <c r="A743" s="601" t="str">
        <f t="shared" si="17"/>
        <v>DNV-TRCA - 375</v>
      </c>
      <c r="E743" s="635">
        <v>375</v>
      </c>
    </row>
    <row r="744" spans="1:5" x14ac:dyDescent="0.2">
      <c r="A744" s="601" t="str">
        <f t="shared" si="17"/>
        <v>DNV-TRCA - 400</v>
      </c>
      <c r="E744" s="635">
        <v>400</v>
      </c>
    </row>
    <row r="745" spans="1:5" x14ac:dyDescent="0.2">
      <c r="A745" s="601" t="str">
        <f t="shared" si="17"/>
        <v>DNV-TRCA - 425</v>
      </c>
      <c r="E745" s="635">
        <v>425</v>
      </c>
    </row>
    <row r="746" spans="1:5" x14ac:dyDescent="0.2">
      <c r="A746" s="601" t="str">
        <f t="shared" si="17"/>
        <v>DNV-TRCA - 450</v>
      </c>
      <c r="E746" s="635">
        <v>450</v>
      </c>
    </row>
    <row r="747" spans="1:5" x14ac:dyDescent="0.2">
      <c r="A747" s="601" t="str">
        <f t="shared" si="17"/>
        <v>DNV-TRCA - 475</v>
      </c>
      <c r="E747" s="635">
        <v>475</v>
      </c>
    </row>
    <row r="748" spans="1:5" x14ac:dyDescent="0.2">
      <c r="A748" s="601" t="str">
        <f t="shared" si="17"/>
        <v>DNV-TRCA - 500</v>
      </c>
      <c r="E748" s="635">
        <v>500</v>
      </c>
    </row>
    <row r="749" spans="1:5" x14ac:dyDescent="0.2">
      <c r="A749" s="601" t="str">
        <f t="shared" si="17"/>
        <v>DNV-TRCA - 600</v>
      </c>
      <c r="E749" s="635">
        <v>600</v>
      </c>
    </row>
    <row r="750" spans="1:5" x14ac:dyDescent="0.2">
      <c r="A750" s="601" t="str">
        <f t="shared" si="17"/>
        <v>DNV-TRCA - 800</v>
      </c>
      <c r="E750" s="635">
        <v>800</v>
      </c>
    </row>
    <row r="751" spans="1:5" x14ac:dyDescent="0.2">
      <c r="A751" s="601" t="str">
        <f t="shared" si="17"/>
        <v>DNV-TRCA - 1000</v>
      </c>
      <c r="E751" s="635">
        <v>1000</v>
      </c>
    </row>
    <row r="756" spans="1:7" x14ac:dyDescent="0.2">
      <c r="A756" s="604"/>
      <c r="B756" s="599" t="s">
        <v>1868</v>
      </c>
    </row>
    <row r="758" spans="1:7" x14ac:dyDescent="0.2">
      <c r="B758" s="601" t="s">
        <v>42</v>
      </c>
      <c r="C758" s="601" t="s">
        <v>847</v>
      </c>
    </row>
    <row r="759" spans="1:7" x14ac:dyDescent="0.2">
      <c r="A759" s="601" t="str">
        <f>CONCATENATE("IIEE-SJ - ",B759)</f>
        <v>IIEE-SJ - 1</v>
      </c>
      <c r="B759" s="601">
        <v>1</v>
      </c>
      <c r="E759" s="600" t="s">
        <v>848</v>
      </c>
      <c r="F759" s="600" t="s">
        <v>2039</v>
      </c>
    </row>
    <row r="760" spans="1:7" x14ac:dyDescent="0.2">
      <c r="A760" s="601" t="s">
        <v>905</v>
      </c>
      <c r="B760" s="601">
        <v>101000</v>
      </c>
      <c r="E760" s="600" t="s">
        <v>715</v>
      </c>
      <c r="G760" s="636"/>
    </row>
    <row r="761" spans="1:7" x14ac:dyDescent="0.2">
      <c r="A761" s="601" t="s">
        <v>904</v>
      </c>
      <c r="B761" s="601">
        <v>102000</v>
      </c>
      <c r="E761" s="600" t="s">
        <v>716</v>
      </c>
      <c r="G761" s="636"/>
    </row>
    <row r="762" spans="1:7" x14ac:dyDescent="0.2">
      <c r="A762" s="601" t="s">
        <v>902</v>
      </c>
      <c r="B762" s="601">
        <v>103000</v>
      </c>
      <c r="E762" s="600" t="s">
        <v>717</v>
      </c>
      <c r="G762" s="636"/>
    </row>
    <row r="763" spans="1:7" x14ac:dyDescent="0.2">
      <c r="A763" s="601"/>
    </row>
    <row r="764" spans="1:7" x14ac:dyDescent="0.2">
      <c r="A764" s="601" t="s">
        <v>1869</v>
      </c>
      <c r="B764" s="601">
        <v>2</v>
      </c>
      <c r="E764" s="600" t="s">
        <v>849</v>
      </c>
    </row>
    <row r="765" spans="1:7" x14ac:dyDescent="0.2">
      <c r="A765" s="601"/>
    </row>
    <row r="766" spans="1:7" x14ac:dyDescent="0.2">
      <c r="A766" s="601" t="s">
        <v>1870</v>
      </c>
      <c r="B766" s="601">
        <v>201</v>
      </c>
      <c r="E766" s="600" t="s">
        <v>850</v>
      </c>
      <c r="F766" s="600" t="s">
        <v>2040</v>
      </c>
    </row>
    <row r="767" spans="1:7" x14ac:dyDescent="0.2">
      <c r="A767" s="601" t="s">
        <v>1871</v>
      </c>
      <c r="B767" s="601">
        <v>201001</v>
      </c>
      <c r="E767" s="600" t="s">
        <v>579</v>
      </c>
    </row>
    <row r="768" spans="1:7" x14ac:dyDescent="0.2">
      <c r="A768" s="601" t="s">
        <v>1872</v>
      </c>
      <c r="B768" s="601">
        <v>201002</v>
      </c>
      <c r="E768" s="600" t="s">
        <v>580</v>
      </c>
    </row>
    <row r="769" spans="1:6" x14ac:dyDescent="0.2">
      <c r="A769" s="601" t="s">
        <v>1873</v>
      </c>
      <c r="B769" s="601">
        <v>201003</v>
      </c>
      <c r="E769" s="600" t="s">
        <v>581</v>
      </c>
    </row>
    <row r="770" spans="1:6" x14ac:dyDescent="0.2">
      <c r="A770" s="606" t="s">
        <v>1874</v>
      </c>
      <c r="B770" s="606">
        <v>201004</v>
      </c>
      <c r="C770" s="606"/>
      <c r="D770" s="606"/>
      <c r="E770" s="607" t="s">
        <v>704</v>
      </c>
      <c r="F770" s="600" t="s">
        <v>2038</v>
      </c>
    </row>
    <row r="771" spans="1:6" x14ac:dyDescent="0.2">
      <c r="A771" s="601"/>
    </row>
    <row r="772" spans="1:6" x14ac:dyDescent="0.2">
      <c r="A772" s="601" t="s">
        <v>1875</v>
      </c>
      <c r="B772" s="601">
        <v>202</v>
      </c>
      <c r="E772" s="600" t="s">
        <v>851</v>
      </c>
      <c r="F772" s="600" t="s">
        <v>2040</v>
      </c>
    </row>
    <row r="773" spans="1:6" x14ac:dyDescent="0.2">
      <c r="A773" s="601" t="s">
        <v>1876</v>
      </c>
      <c r="B773" s="601">
        <v>202001</v>
      </c>
      <c r="E773" s="600" t="s">
        <v>582</v>
      </c>
    </row>
    <row r="774" spans="1:6" x14ac:dyDescent="0.2">
      <c r="A774" s="601" t="s">
        <v>1877</v>
      </c>
      <c r="B774" s="601">
        <v>202002</v>
      </c>
      <c r="E774" s="600" t="s">
        <v>583</v>
      </c>
    </row>
    <row r="775" spans="1:6" x14ac:dyDescent="0.2">
      <c r="A775" s="601" t="s">
        <v>1878</v>
      </c>
      <c r="B775" s="601">
        <v>202003</v>
      </c>
      <c r="E775" s="600" t="s">
        <v>584</v>
      </c>
    </row>
    <row r="776" spans="1:6" x14ac:dyDescent="0.2">
      <c r="A776" s="606" t="s">
        <v>1879</v>
      </c>
      <c r="B776" s="606">
        <v>202004</v>
      </c>
      <c r="C776" s="606"/>
      <c r="D776" s="606"/>
      <c r="E776" s="607" t="s">
        <v>677</v>
      </c>
      <c r="F776" s="600" t="s">
        <v>2038</v>
      </c>
    </row>
    <row r="777" spans="1:6" x14ac:dyDescent="0.2">
      <c r="A777" s="601"/>
    </row>
    <row r="778" spans="1:6" x14ac:dyDescent="0.2">
      <c r="A778" s="601" t="s">
        <v>1880</v>
      </c>
      <c r="B778" s="601">
        <v>203</v>
      </c>
      <c r="E778" s="600" t="s">
        <v>852</v>
      </c>
      <c r="F778" s="600" t="s">
        <v>2040</v>
      </c>
    </row>
    <row r="779" spans="1:6" x14ac:dyDescent="0.2">
      <c r="A779" s="601" t="s">
        <v>927</v>
      </c>
      <c r="B779" s="601">
        <v>203001</v>
      </c>
      <c r="E779" s="600" t="s">
        <v>853</v>
      </c>
    </row>
    <row r="780" spans="1:6" x14ac:dyDescent="0.2">
      <c r="A780" s="601" t="s">
        <v>926</v>
      </c>
      <c r="B780" s="601">
        <v>203002</v>
      </c>
      <c r="E780" s="600" t="s">
        <v>707</v>
      </c>
    </row>
    <row r="781" spans="1:6" x14ac:dyDescent="0.2">
      <c r="A781" s="601"/>
    </row>
    <row r="782" spans="1:6" x14ac:dyDescent="0.2">
      <c r="A782" s="601" t="s">
        <v>1881</v>
      </c>
      <c r="B782" s="601">
        <v>204</v>
      </c>
      <c r="E782" s="600" t="s">
        <v>854</v>
      </c>
      <c r="F782" s="600" t="s">
        <v>2040</v>
      </c>
    </row>
    <row r="783" spans="1:6" x14ac:dyDescent="0.2">
      <c r="A783" s="601" t="s">
        <v>1882</v>
      </c>
      <c r="B783" s="601">
        <v>204001</v>
      </c>
      <c r="E783" s="19" t="s">
        <v>855</v>
      </c>
    </row>
    <row r="784" spans="1:6" x14ac:dyDescent="0.2">
      <c r="A784" s="601" t="s">
        <v>1883</v>
      </c>
      <c r="B784" s="601">
        <v>204002</v>
      </c>
      <c r="E784" s="19" t="s">
        <v>856</v>
      </c>
    </row>
    <row r="785" spans="1:6" x14ac:dyDescent="0.2">
      <c r="A785" s="601" t="s">
        <v>1884</v>
      </c>
      <c r="B785" s="601">
        <v>204003</v>
      </c>
      <c r="E785" s="19" t="s">
        <v>857</v>
      </c>
    </row>
    <row r="786" spans="1:6" x14ac:dyDescent="0.2">
      <c r="A786" s="606" t="s">
        <v>1885</v>
      </c>
      <c r="B786" s="606">
        <v>204004</v>
      </c>
      <c r="C786" s="606"/>
      <c r="D786" s="606"/>
      <c r="E786" s="607" t="s">
        <v>687</v>
      </c>
      <c r="F786" s="600" t="s">
        <v>2038</v>
      </c>
    </row>
    <row r="787" spans="1:6" x14ac:dyDescent="0.2">
      <c r="A787" s="606" t="s">
        <v>1886</v>
      </c>
      <c r="B787" s="606">
        <v>204005</v>
      </c>
      <c r="C787" s="606"/>
      <c r="D787" s="606"/>
      <c r="E787" s="607" t="s">
        <v>688</v>
      </c>
      <c r="F787" s="600" t="s">
        <v>2038</v>
      </c>
    </row>
    <row r="788" spans="1:6" x14ac:dyDescent="0.2">
      <c r="A788" s="601"/>
    </row>
    <row r="789" spans="1:6" x14ac:dyDescent="0.2">
      <c r="A789" s="601" t="s">
        <v>1887</v>
      </c>
      <c r="B789" s="601">
        <v>205</v>
      </c>
      <c r="E789" s="600" t="s">
        <v>858</v>
      </c>
      <c r="F789" s="600" t="s">
        <v>2040</v>
      </c>
    </row>
    <row r="790" spans="1:6" x14ac:dyDescent="0.2">
      <c r="A790" s="601" t="s">
        <v>1888</v>
      </c>
      <c r="B790" s="601">
        <v>205001</v>
      </c>
      <c r="E790" s="600" t="s">
        <v>1889</v>
      </c>
    </row>
    <row r="791" spans="1:6" x14ac:dyDescent="0.2">
      <c r="A791" s="601" t="s">
        <v>925</v>
      </c>
      <c r="B791" s="601">
        <v>205002</v>
      </c>
      <c r="E791" s="600" t="s">
        <v>1890</v>
      </c>
    </row>
    <row r="792" spans="1:6" x14ac:dyDescent="0.2">
      <c r="A792" s="606" t="s">
        <v>1891</v>
      </c>
      <c r="B792" s="606">
        <v>205003</v>
      </c>
      <c r="C792" s="606"/>
      <c r="D792" s="606"/>
      <c r="E792" s="607" t="s">
        <v>685</v>
      </c>
      <c r="F792" s="600" t="s">
        <v>2038</v>
      </c>
    </row>
    <row r="793" spans="1:6" x14ac:dyDescent="0.2">
      <c r="A793" s="606" t="s">
        <v>1892</v>
      </c>
      <c r="B793" s="606">
        <v>205004</v>
      </c>
      <c r="C793" s="606"/>
      <c r="D793" s="606"/>
      <c r="E793" s="607" t="s">
        <v>686</v>
      </c>
      <c r="F793" s="600" t="s">
        <v>2038</v>
      </c>
    </row>
    <row r="794" spans="1:6" x14ac:dyDescent="0.2">
      <c r="A794" s="606" t="s">
        <v>1893</v>
      </c>
      <c r="B794" s="606">
        <v>205005</v>
      </c>
      <c r="C794" s="606"/>
      <c r="D794" s="606"/>
      <c r="E794" s="607" t="s">
        <v>684</v>
      </c>
      <c r="F794" s="600" t="s">
        <v>2038</v>
      </c>
    </row>
    <row r="795" spans="1:6" x14ac:dyDescent="0.2">
      <c r="A795" s="601"/>
    </row>
    <row r="796" spans="1:6" x14ac:dyDescent="0.2">
      <c r="A796" s="601" t="s">
        <v>1894</v>
      </c>
      <c r="B796" s="601">
        <v>206</v>
      </c>
      <c r="E796" s="600" t="s">
        <v>859</v>
      </c>
      <c r="F796" s="600" t="s">
        <v>2040</v>
      </c>
    </row>
    <row r="797" spans="1:6" x14ac:dyDescent="0.2">
      <c r="A797" s="601" t="s">
        <v>1895</v>
      </c>
      <c r="B797" s="601">
        <v>206001</v>
      </c>
      <c r="E797" s="600" t="s">
        <v>860</v>
      </c>
    </row>
    <row r="798" spans="1:6" x14ac:dyDescent="0.2">
      <c r="A798" s="601" t="s">
        <v>1896</v>
      </c>
      <c r="B798" s="601">
        <v>206002</v>
      </c>
      <c r="E798" s="600" t="s">
        <v>585</v>
      </c>
    </row>
    <row r="799" spans="1:6" x14ac:dyDescent="0.2">
      <c r="A799" s="606" t="s">
        <v>1897</v>
      </c>
      <c r="B799" s="606">
        <v>206003</v>
      </c>
      <c r="C799" s="606"/>
      <c r="D799" s="606"/>
      <c r="E799" s="607" t="s">
        <v>678</v>
      </c>
      <c r="F799" s="600" t="s">
        <v>2038</v>
      </c>
    </row>
    <row r="800" spans="1:6" x14ac:dyDescent="0.2">
      <c r="A800" s="606" t="s">
        <v>1898</v>
      </c>
      <c r="B800" s="606">
        <v>206004</v>
      </c>
      <c r="C800" s="606"/>
      <c r="D800" s="606"/>
      <c r="E800" s="607" t="s">
        <v>679</v>
      </c>
      <c r="F800" s="600" t="s">
        <v>2038</v>
      </c>
    </row>
    <row r="801" spans="1:6" x14ac:dyDescent="0.2">
      <c r="A801" s="601"/>
    </row>
    <row r="802" spans="1:6" x14ac:dyDescent="0.2">
      <c r="A802" s="601" t="s">
        <v>1899</v>
      </c>
      <c r="B802" s="601">
        <v>207</v>
      </c>
      <c r="E802" s="600" t="s">
        <v>861</v>
      </c>
      <c r="F802" s="600" t="s">
        <v>2040</v>
      </c>
    </row>
    <row r="803" spans="1:6" x14ac:dyDescent="0.2">
      <c r="A803" s="601" t="s">
        <v>1900</v>
      </c>
      <c r="B803" s="601">
        <v>207001</v>
      </c>
      <c r="E803" s="600" t="s">
        <v>586</v>
      </c>
    </row>
    <row r="804" spans="1:6" x14ac:dyDescent="0.2">
      <c r="A804" s="606" t="s">
        <v>1901</v>
      </c>
      <c r="B804" s="606">
        <v>207002</v>
      </c>
      <c r="C804" s="606"/>
      <c r="D804" s="606"/>
      <c r="E804" s="607" t="s">
        <v>862</v>
      </c>
      <c r="F804" s="600" t="s">
        <v>2038</v>
      </c>
    </row>
    <row r="805" spans="1:6" x14ac:dyDescent="0.2">
      <c r="A805" s="606" t="s">
        <v>1902</v>
      </c>
      <c r="B805" s="606">
        <v>207003</v>
      </c>
      <c r="C805" s="606"/>
      <c r="D805" s="606"/>
      <c r="E805" s="607" t="s">
        <v>680</v>
      </c>
      <c r="F805" s="600" t="s">
        <v>2038</v>
      </c>
    </row>
    <row r="806" spans="1:6" x14ac:dyDescent="0.2">
      <c r="A806" s="606" t="s">
        <v>1903</v>
      </c>
      <c r="B806" s="606">
        <v>207004</v>
      </c>
      <c r="C806" s="606"/>
      <c r="D806" s="606"/>
      <c r="E806" s="607" t="s">
        <v>683</v>
      </c>
      <c r="F806" s="600" t="s">
        <v>2038</v>
      </c>
    </row>
    <row r="807" spans="1:6" x14ac:dyDescent="0.2">
      <c r="A807" s="601"/>
    </row>
    <row r="808" spans="1:6" x14ac:dyDescent="0.2">
      <c r="A808" s="601" t="s">
        <v>1904</v>
      </c>
      <c r="B808" s="601">
        <v>208</v>
      </c>
      <c r="E808" s="600" t="s">
        <v>863</v>
      </c>
      <c r="F808" s="600" t="s">
        <v>2040</v>
      </c>
    </row>
    <row r="809" spans="1:6" x14ac:dyDescent="0.2">
      <c r="A809" s="601" t="s">
        <v>1905</v>
      </c>
      <c r="B809" s="601">
        <v>208001</v>
      </c>
      <c r="E809" s="600" t="s">
        <v>587</v>
      </c>
    </row>
    <row r="810" spans="1:6" x14ac:dyDescent="0.2">
      <c r="A810" s="606" t="s">
        <v>1906</v>
      </c>
      <c r="B810" s="606">
        <v>208002</v>
      </c>
      <c r="C810" s="606"/>
      <c r="D810" s="606"/>
      <c r="E810" s="607" t="s">
        <v>864</v>
      </c>
      <c r="F810" s="600" t="s">
        <v>2038</v>
      </c>
    </row>
    <row r="811" spans="1:6" x14ac:dyDescent="0.2">
      <c r="A811" s="601"/>
    </row>
    <row r="812" spans="1:6" x14ac:dyDescent="0.2">
      <c r="A812" s="601" t="s">
        <v>1907</v>
      </c>
      <c r="B812" s="601">
        <v>209</v>
      </c>
      <c r="E812" s="600" t="s">
        <v>865</v>
      </c>
      <c r="F812" s="600" t="s">
        <v>2040</v>
      </c>
    </row>
    <row r="813" spans="1:6" x14ac:dyDescent="0.2">
      <c r="A813" s="601" t="s">
        <v>1908</v>
      </c>
      <c r="B813" s="601">
        <v>209001</v>
      </c>
      <c r="E813" s="600" t="s">
        <v>588</v>
      </c>
    </row>
    <row r="814" spans="1:6" x14ac:dyDescent="0.2">
      <c r="A814" s="601" t="s">
        <v>1909</v>
      </c>
      <c r="B814" s="601">
        <v>209002</v>
      </c>
      <c r="E814" s="600" t="s">
        <v>589</v>
      </c>
    </row>
    <row r="815" spans="1:6" x14ac:dyDescent="0.2">
      <c r="A815" s="601" t="s">
        <v>1910</v>
      </c>
      <c r="B815" s="601">
        <v>209003</v>
      </c>
      <c r="E815" s="600" t="s">
        <v>590</v>
      </c>
    </row>
    <row r="816" spans="1:6" x14ac:dyDescent="0.2">
      <c r="A816" s="601" t="s">
        <v>1911</v>
      </c>
      <c r="B816" s="601">
        <v>209004</v>
      </c>
      <c r="E816" s="600" t="s">
        <v>591</v>
      </c>
    </row>
    <row r="817" spans="1:6" x14ac:dyDescent="0.2">
      <c r="A817" s="606" t="s">
        <v>1912</v>
      </c>
      <c r="B817" s="606">
        <v>209005</v>
      </c>
      <c r="C817" s="606"/>
      <c r="D817" s="606"/>
      <c r="E817" s="607" t="s">
        <v>690</v>
      </c>
      <c r="F817" s="600" t="s">
        <v>2038</v>
      </c>
    </row>
    <row r="818" spans="1:6" x14ac:dyDescent="0.2">
      <c r="A818" s="606" t="s">
        <v>1913</v>
      </c>
      <c r="B818" s="606">
        <v>209006</v>
      </c>
      <c r="C818" s="606"/>
      <c r="D818" s="606"/>
      <c r="E818" s="607" t="s">
        <v>691</v>
      </c>
      <c r="F818" s="600" t="s">
        <v>2038</v>
      </c>
    </row>
    <row r="819" spans="1:6" x14ac:dyDescent="0.2">
      <c r="A819" s="606" t="s">
        <v>1914</v>
      </c>
      <c r="B819" s="606">
        <v>209007</v>
      </c>
      <c r="C819" s="606"/>
      <c r="D819" s="606"/>
      <c r="E819" s="607" t="s">
        <v>692</v>
      </c>
      <c r="F819" s="600" t="s">
        <v>2038</v>
      </c>
    </row>
    <row r="820" spans="1:6" x14ac:dyDescent="0.2">
      <c r="A820" s="601"/>
    </row>
    <row r="821" spans="1:6" x14ac:dyDescent="0.2">
      <c r="A821" s="601" t="s">
        <v>1915</v>
      </c>
      <c r="B821" s="601">
        <v>210</v>
      </c>
      <c r="E821" s="600" t="s">
        <v>866</v>
      </c>
      <c r="F821" s="600" t="s">
        <v>2040</v>
      </c>
    </row>
    <row r="822" spans="1:6" x14ac:dyDescent="0.2">
      <c r="A822" s="601" t="s">
        <v>1916</v>
      </c>
      <c r="B822" s="601">
        <v>210001</v>
      </c>
      <c r="E822" s="600" t="s">
        <v>592</v>
      </c>
    </row>
    <row r="823" spans="1:6" x14ac:dyDescent="0.2">
      <c r="A823" s="601" t="s">
        <v>1917</v>
      </c>
      <c r="B823" s="601">
        <v>210002</v>
      </c>
      <c r="E823" s="600" t="s">
        <v>593</v>
      </c>
    </row>
    <row r="824" spans="1:6" x14ac:dyDescent="0.2">
      <c r="A824" s="601" t="s">
        <v>1918</v>
      </c>
      <c r="B824" s="601">
        <v>210003</v>
      </c>
      <c r="E824" s="600" t="s">
        <v>594</v>
      </c>
    </row>
    <row r="825" spans="1:6" x14ac:dyDescent="0.2">
      <c r="A825" s="601" t="s">
        <v>1919</v>
      </c>
      <c r="B825" s="601">
        <v>210004</v>
      </c>
      <c r="E825" s="600" t="s">
        <v>595</v>
      </c>
    </row>
    <row r="826" spans="1:6" x14ac:dyDescent="0.2">
      <c r="A826" s="601" t="s">
        <v>1920</v>
      </c>
      <c r="B826" s="601">
        <v>210005</v>
      </c>
      <c r="E826" s="600" t="s">
        <v>596</v>
      </c>
    </row>
    <row r="827" spans="1:6" x14ac:dyDescent="0.2">
      <c r="A827" s="601" t="s">
        <v>1921</v>
      </c>
      <c r="B827" s="601">
        <v>210006</v>
      </c>
      <c r="E827" s="600" t="s">
        <v>597</v>
      </c>
    </row>
    <row r="828" spans="1:6" x14ac:dyDescent="0.2">
      <c r="A828" s="601" t="s">
        <v>1922</v>
      </c>
      <c r="B828" s="601">
        <v>210007</v>
      </c>
      <c r="E828" s="600" t="s">
        <v>598</v>
      </c>
    </row>
    <row r="829" spans="1:6" x14ac:dyDescent="0.2">
      <c r="A829" s="601" t="s">
        <v>1923</v>
      </c>
      <c r="B829" s="601">
        <v>210008</v>
      </c>
      <c r="E829" s="600" t="s">
        <v>599</v>
      </c>
    </row>
    <row r="830" spans="1:6" x14ac:dyDescent="0.2">
      <c r="A830" s="601"/>
    </row>
    <row r="831" spans="1:6" x14ac:dyDescent="0.2">
      <c r="A831" s="601" t="s">
        <v>1924</v>
      </c>
      <c r="B831" s="601">
        <v>211</v>
      </c>
      <c r="E831" s="600" t="s">
        <v>867</v>
      </c>
      <c r="F831" s="600" t="s">
        <v>2040</v>
      </c>
    </row>
    <row r="832" spans="1:6" x14ac:dyDescent="0.2">
      <c r="A832" s="601" t="s">
        <v>1925</v>
      </c>
      <c r="B832" s="601">
        <v>211001</v>
      </c>
      <c r="E832" s="600" t="s">
        <v>600</v>
      </c>
    </row>
    <row r="833" spans="1:6" x14ac:dyDescent="0.2">
      <c r="A833" s="601" t="s">
        <v>1926</v>
      </c>
      <c r="B833" s="601">
        <v>211002</v>
      </c>
      <c r="E833" s="600" t="s">
        <v>601</v>
      </c>
    </row>
    <row r="834" spans="1:6" x14ac:dyDescent="0.2">
      <c r="A834" s="601" t="s">
        <v>1927</v>
      </c>
      <c r="B834" s="601">
        <v>211003</v>
      </c>
      <c r="E834" s="600" t="s">
        <v>602</v>
      </c>
    </row>
    <row r="835" spans="1:6" x14ac:dyDescent="0.2">
      <c r="A835" s="601" t="s">
        <v>1928</v>
      </c>
      <c r="B835" s="601">
        <v>211004</v>
      </c>
      <c r="E835" s="600" t="s">
        <v>603</v>
      </c>
    </row>
    <row r="836" spans="1:6" x14ac:dyDescent="0.2">
      <c r="A836" s="601" t="s">
        <v>1929</v>
      </c>
      <c r="B836" s="601">
        <v>211005</v>
      </c>
      <c r="E836" s="600" t="s">
        <v>604</v>
      </c>
    </row>
    <row r="837" spans="1:6" x14ac:dyDescent="0.2">
      <c r="A837" s="606" t="s">
        <v>1930</v>
      </c>
      <c r="B837" s="606">
        <v>211006</v>
      </c>
      <c r="C837" s="606"/>
      <c r="D837" s="606"/>
      <c r="E837" s="607" t="s">
        <v>705</v>
      </c>
      <c r="F837" s="600" t="s">
        <v>2038</v>
      </c>
    </row>
    <row r="838" spans="1:6" x14ac:dyDescent="0.2">
      <c r="A838" s="606" t="s">
        <v>1931</v>
      </c>
      <c r="B838" s="606">
        <v>211007</v>
      </c>
      <c r="C838" s="606"/>
      <c r="D838" s="606"/>
      <c r="E838" s="607" t="s">
        <v>706</v>
      </c>
      <c r="F838" s="600" t="s">
        <v>2038</v>
      </c>
    </row>
    <row r="839" spans="1:6" x14ac:dyDescent="0.2">
      <c r="A839" s="606" t="s">
        <v>1932</v>
      </c>
      <c r="B839" s="606">
        <v>211008</v>
      </c>
      <c r="C839" s="606"/>
      <c r="D839" s="606"/>
      <c r="E839" s="607" t="s">
        <v>868</v>
      </c>
      <c r="F839" s="600" t="s">
        <v>2038</v>
      </c>
    </row>
    <row r="840" spans="1:6" x14ac:dyDescent="0.2">
      <c r="A840" s="606" t="s">
        <v>1933</v>
      </c>
      <c r="B840" s="606">
        <v>211009</v>
      </c>
      <c r="C840" s="606"/>
      <c r="D840" s="606"/>
      <c r="E840" s="607" t="s">
        <v>869</v>
      </c>
      <c r="F840" s="600" t="s">
        <v>2038</v>
      </c>
    </row>
    <row r="841" spans="1:6" x14ac:dyDescent="0.2">
      <c r="A841" s="601"/>
    </row>
    <row r="842" spans="1:6" x14ac:dyDescent="0.2">
      <c r="A842" s="601" t="s">
        <v>1934</v>
      </c>
      <c r="B842" s="601">
        <v>212</v>
      </c>
      <c r="E842" s="600" t="s">
        <v>870</v>
      </c>
      <c r="F842" s="600" t="s">
        <v>2040</v>
      </c>
    </row>
    <row r="843" spans="1:6" x14ac:dyDescent="0.2">
      <c r="A843" s="601" t="s">
        <v>1935</v>
      </c>
      <c r="B843" s="601">
        <v>212001</v>
      </c>
      <c r="E843" s="600" t="s">
        <v>605</v>
      </c>
    </row>
    <row r="844" spans="1:6" x14ac:dyDescent="0.2">
      <c r="A844" s="601" t="s">
        <v>1936</v>
      </c>
      <c r="B844" s="601">
        <v>212002</v>
      </c>
      <c r="E844" s="600" t="s">
        <v>606</v>
      </c>
    </row>
    <row r="845" spans="1:6" x14ac:dyDescent="0.2">
      <c r="A845" s="606" t="s">
        <v>1937</v>
      </c>
      <c r="B845" s="606">
        <v>212003</v>
      </c>
      <c r="C845" s="606"/>
      <c r="D845" s="606"/>
      <c r="E845" s="607" t="s">
        <v>607</v>
      </c>
      <c r="F845" s="600" t="s">
        <v>2038</v>
      </c>
    </row>
    <row r="846" spans="1:6" x14ac:dyDescent="0.2">
      <c r="A846" s="601" t="s">
        <v>1938</v>
      </c>
      <c r="B846" s="601">
        <v>212004</v>
      </c>
      <c r="E846" s="600" t="s">
        <v>608</v>
      </c>
    </row>
    <row r="847" spans="1:6" x14ac:dyDescent="0.2">
      <c r="A847" s="601"/>
    </row>
    <row r="848" spans="1:6" x14ac:dyDescent="0.2">
      <c r="A848" s="601" t="s">
        <v>1939</v>
      </c>
      <c r="B848" s="601">
        <v>213</v>
      </c>
      <c r="E848" s="600" t="s">
        <v>871</v>
      </c>
      <c r="F848" s="600" t="s">
        <v>2040</v>
      </c>
    </row>
    <row r="849" spans="1:6" x14ac:dyDescent="0.2">
      <c r="A849" s="601" t="s">
        <v>1940</v>
      </c>
      <c r="B849" s="601">
        <v>213001</v>
      </c>
      <c r="E849" s="600" t="s">
        <v>609</v>
      </c>
    </row>
    <row r="850" spans="1:6" x14ac:dyDescent="0.2">
      <c r="A850" s="601" t="s">
        <v>1941</v>
      </c>
      <c r="B850" s="601">
        <v>213002</v>
      </c>
      <c r="E850" s="600" t="s">
        <v>610</v>
      </c>
    </row>
    <row r="851" spans="1:6" x14ac:dyDescent="0.2">
      <c r="A851" s="601" t="s">
        <v>1942</v>
      </c>
      <c r="B851" s="601">
        <v>213003</v>
      </c>
      <c r="E851" s="600" t="s">
        <v>611</v>
      </c>
    </row>
    <row r="852" spans="1:6" x14ac:dyDescent="0.2">
      <c r="A852" s="601" t="s">
        <v>1943</v>
      </c>
      <c r="B852" s="601">
        <v>213004</v>
      </c>
      <c r="E852" s="600" t="s">
        <v>612</v>
      </c>
    </row>
    <row r="853" spans="1:6" x14ac:dyDescent="0.2">
      <c r="A853" s="601" t="s">
        <v>1944</v>
      </c>
      <c r="B853" s="601">
        <v>213005</v>
      </c>
      <c r="E853" s="600" t="s">
        <v>613</v>
      </c>
    </row>
    <row r="854" spans="1:6" x14ac:dyDescent="0.2">
      <c r="A854" s="601" t="s">
        <v>1945</v>
      </c>
      <c r="B854" s="601">
        <v>213006</v>
      </c>
      <c r="E854" s="600" t="s">
        <v>614</v>
      </c>
    </row>
    <row r="855" spans="1:6" x14ac:dyDescent="0.2">
      <c r="A855" s="601" t="s">
        <v>1946</v>
      </c>
      <c r="B855" s="601">
        <v>213007</v>
      </c>
      <c r="E855" s="600" t="s">
        <v>615</v>
      </c>
    </row>
    <row r="856" spans="1:6" x14ac:dyDescent="0.2">
      <c r="A856" s="601" t="s">
        <v>1947</v>
      </c>
      <c r="B856" s="601">
        <v>213008</v>
      </c>
      <c r="E856" s="600" t="s">
        <v>616</v>
      </c>
    </row>
    <row r="857" spans="1:6" x14ac:dyDescent="0.2">
      <c r="A857" s="601"/>
    </row>
    <row r="858" spans="1:6" x14ac:dyDescent="0.2">
      <c r="A858" s="601" t="s">
        <v>1948</v>
      </c>
      <c r="B858" s="601">
        <v>214</v>
      </c>
      <c r="E858" s="600" t="s">
        <v>872</v>
      </c>
      <c r="F858" s="600" t="s">
        <v>2040</v>
      </c>
    </row>
    <row r="859" spans="1:6" x14ac:dyDescent="0.2">
      <c r="A859" s="601" t="s">
        <v>1949</v>
      </c>
      <c r="B859" s="601">
        <v>214001</v>
      </c>
      <c r="E859" s="600" t="s">
        <v>617</v>
      </c>
    </row>
    <row r="860" spans="1:6" x14ac:dyDescent="0.2">
      <c r="A860" s="601" t="s">
        <v>1629</v>
      </c>
      <c r="B860" s="601">
        <v>214002</v>
      </c>
      <c r="E860" s="600" t="s">
        <v>618</v>
      </c>
    </row>
    <row r="861" spans="1:6" x14ac:dyDescent="0.2">
      <c r="A861" s="601" t="s">
        <v>1950</v>
      </c>
      <c r="B861" s="601">
        <v>214003</v>
      </c>
      <c r="E861" s="600" t="s">
        <v>619</v>
      </c>
    </row>
    <row r="862" spans="1:6" x14ac:dyDescent="0.2">
      <c r="A862" s="601" t="s">
        <v>1643</v>
      </c>
      <c r="B862" s="601">
        <v>214004</v>
      </c>
      <c r="E862" s="600" t="s">
        <v>620</v>
      </c>
    </row>
    <row r="863" spans="1:6" x14ac:dyDescent="0.2">
      <c r="A863" s="601" t="s">
        <v>1951</v>
      </c>
      <c r="B863" s="601">
        <v>214005</v>
      </c>
      <c r="E863" s="600" t="s">
        <v>621</v>
      </c>
    </row>
    <row r="864" spans="1:6" x14ac:dyDescent="0.2">
      <c r="A864" s="601" t="s">
        <v>1660</v>
      </c>
      <c r="B864" s="601">
        <v>214006</v>
      </c>
      <c r="E864" s="600" t="s">
        <v>622</v>
      </c>
    </row>
    <row r="865" spans="1:6" x14ac:dyDescent="0.2">
      <c r="A865" s="601"/>
    </row>
    <row r="866" spans="1:6" x14ac:dyDescent="0.2">
      <c r="A866" s="601" t="s">
        <v>1952</v>
      </c>
      <c r="B866" s="601">
        <v>215</v>
      </c>
      <c r="E866" s="600" t="s">
        <v>873</v>
      </c>
      <c r="F866" s="600" t="s">
        <v>2040</v>
      </c>
    </row>
    <row r="867" spans="1:6" x14ac:dyDescent="0.2">
      <c r="A867" s="606" t="s">
        <v>1953</v>
      </c>
      <c r="B867" s="606">
        <v>215001</v>
      </c>
      <c r="C867" s="606"/>
      <c r="D867" s="606"/>
      <c r="E867" s="607" t="s">
        <v>623</v>
      </c>
      <c r="F867" s="600" t="s">
        <v>2038</v>
      </c>
    </row>
    <row r="868" spans="1:6" x14ac:dyDescent="0.2">
      <c r="A868" s="606" t="s">
        <v>1954</v>
      </c>
      <c r="B868" s="606">
        <v>215002</v>
      </c>
      <c r="C868" s="606"/>
      <c r="D868" s="606"/>
      <c r="E868" s="607" t="s">
        <v>624</v>
      </c>
      <c r="F868" s="600" t="s">
        <v>2038</v>
      </c>
    </row>
    <row r="869" spans="1:6" x14ac:dyDescent="0.2">
      <c r="A869" s="606" t="s">
        <v>1955</v>
      </c>
      <c r="B869" s="606">
        <v>215003</v>
      </c>
      <c r="C869" s="606"/>
      <c r="D869" s="606"/>
      <c r="E869" s="607" t="s">
        <v>625</v>
      </c>
      <c r="F869" s="600" t="s">
        <v>2038</v>
      </c>
    </row>
    <row r="870" spans="1:6" x14ac:dyDescent="0.2">
      <c r="A870" s="601" t="s">
        <v>1956</v>
      </c>
      <c r="B870" s="601">
        <v>215004</v>
      </c>
      <c r="E870" s="600" t="s">
        <v>626</v>
      </c>
    </row>
    <row r="871" spans="1:6" x14ac:dyDescent="0.2">
      <c r="A871" s="601" t="s">
        <v>1957</v>
      </c>
      <c r="B871" s="601">
        <v>215005</v>
      </c>
      <c r="E871" s="600" t="s">
        <v>627</v>
      </c>
    </row>
    <row r="872" spans="1:6" x14ac:dyDescent="0.2">
      <c r="A872" s="601" t="s">
        <v>1958</v>
      </c>
      <c r="B872" s="601">
        <v>215006</v>
      </c>
      <c r="E872" s="600" t="s">
        <v>628</v>
      </c>
    </row>
    <row r="873" spans="1:6" x14ac:dyDescent="0.2">
      <c r="A873" s="601"/>
    </row>
    <row r="874" spans="1:6" x14ac:dyDescent="0.2">
      <c r="A874" s="601" t="s">
        <v>1959</v>
      </c>
      <c r="B874" s="601">
        <v>216</v>
      </c>
      <c r="E874" s="600" t="s">
        <v>874</v>
      </c>
      <c r="F874" s="600" t="s">
        <v>2040</v>
      </c>
    </row>
    <row r="875" spans="1:6" x14ac:dyDescent="0.2">
      <c r="A875" s="601" t="s">
        <v>1960</v>
      </c>
      <c r="B875" s="601">
        <v>216001</v>
      </c>
      <c r="E875" s="600" t="s">
        <v>629</v>
      </c>
    </row>
    <row r="876" spans="1:6" x14ac:dyDescent="0.2">
      <c r="A876" s="601" t="s">
        <v>1961</v>
      </c>
      <c r="B876" s="601">
        <v>216002</v>
      </c>
      <c r="E876" s="600" t="s">
        <v>630</v>
      </c>
    </row>
    <row r="877" spans="1:6" x14ac:dyDescent="0.2">
      <c r="A877" s="601" t="s">
        <v>1962</v>
      </c>
      <c r="B877" s="601">
        <v>216003</v>
      </c>
      <c r="E877" s="600" t="s">
        <v>631</v>
      </c>
    </row>
    <row r="878" spans="1:6" x14ac:dyDescent="0.2">
      <c r="A878" s="601" t="s">
        <v>1963</v>
      </c>
      <c r="B878" s="601">
        <v>216004</v>
      </c>
      <c r="E878" s="600" t="s">
        <v>632</v>
      </c>
    </row>
    <row r="879" spans="1:6" x14ac:dyDescent="0.2">
      <c r="A879" s="601" t="s">
        <v>1964</v>
      </c>
      <c r="B879" s="601">
        <v>216005</v>
      </c>
      <c r="E879" s="600" t="s">
        <v>633</v>
      </c>
    </row>
    <row r="880" spans="1:6" x14ac:dyDescent="0.2">
      <c r="A880" s="601"/>
    </row>
    <row r="881" spans="1:6" x14ac:dyDescent="0.2">
      <c r="A881" s="601" t="s">
        <v>1965</v>
      </c>
      <c r="B881" s="601">
        <v>217</v>
      </c>
      <c r="E881" s="600" t="s">
        <v>875</v>
      </c>
      <c r="F881" s="600" t="s">
        <v>2040</v>
      </c>
    </row>
    <row r="882" spans="1:6" x14ac:dyDescent="0.2">
      <c r="A882" s="601" t="s">
        <v>1966</v>
      </c>
      <c r="B882" s="601">
        <v>217001</v>
      </c>
      <c r="E882" s="600" t="s">
        <v>634</v>
      </c>
    </row>
    <row r="883" spans="1:6" x14ac:dyDescent="0.2">
      <c r="A883" s="601" t="s">
        <v>1967</v>
      </c>
      <c r="B883" s="601">
        <v>217002</v>
      </c>
      <c r="E883" s="600" t="s">
        <v>635</v>
      </c>
    </row>
    <row r="884" spans="1:6" x14ac:dyDescent="0.2">
      <c r="A884" s="601"/>
    </row>
    <row r="885" spans="1:6" x14ac:dyDescent="0.2">
      <c r="A885" s="601" t="s">
        <v>1968</v>
      </c>
      <c r="B885" s="601">
        <v>218</v>
      </c>
      <c r="E885" s="600" t="s">
        <v>826</v>
      </c>
      <c r="F885" s="600" t="s">
        <v>2040</v>
      </c>
    </row>
    <row r="886" spans="1:6" x14ac:dyDescent="0.2">
      <c r="A886" s="601" t="s">
        <v>1969</v>
      </c>
      <c r="B886" s="601">
        <v>218001</v>
      </c>
      <c r="E886" s="600" t="s">
        <v>636</v>
      </c>
    </row>
    <row r="887" spans="1:6" x14ac:dyDescent="0.2">
      <c r="A887" s="601" t="s">
        <v>1970</v>
      </c>
      <c r="B887" s="601">
        <v>218002</v>
      </c>
      <c r="E887" s="600" t="s">
        <v>637</v>
      </c>
    </row>
    <row r="888" spans="1:6" x14ac:dyDescent="0.2">
      <c r="A888" s="601" t="s">
        <v>1971</v>
      </c>
      <c r="B888" s="601">
        <v>218003</v>
      </c>
      <c r="E888" s="600" t="s">
        <v>638</v>
      </c>
    </row>
    <row r="889" spans="1:6" x14ac:dyDescent="0.2">
      <c r="A889" s="601"/>
    </row>
    <row r="890" spans="1:6" x14ac:dyDescent="0.2">
      <c r="A890" s="601" t="s">
        <v>1972</v>
      </c>
      <c r="B890" s="601">
        <v>219</v>
      </c>
      <c r="E890" s="600" t="s">
        <v>876</v>
      </c>
      <c r="F890" s="600" t="s">
        <v>2040</v>
      </c>
    </row>
    <row r="891" spans="1:6" x14ac:dyDescent="0.2">
      <c r="A891" s="601" t="s">
        <v>1973</v>
      </c>
      <c r="B891" s="601">
        <v>219001</v>
      </c>
      <c r="E891" s="600" t="s">
        <v>877</v>
      </c>
    </row>
    <row r="892" spans="1:6" x14ac:dyDescent="0.2">
      <c r="A892" s="601" t="s">
        <v>1974</v>
      </c>
      <c r="B892" s="601">
        <v>219002</v>
      </c>
      <c r="E892" s="600" t="s">
        <v>878</v>
      </c>
    </row>
    <row r="893" spans="1:6" x14ac:dyDescent="0.2">
      <c r="A893" s="601" t="s">
        <v>1975</v>
      </c>
      <c r="B893" s="601">
        <v>219003</v>
      </c>
      <c r="E893" s="600" t="s">
        <v>879</v>
      </c>
    </row>
    <row r="894" spans="1:6" x14ac:dyDescent="0.2">
      <c r="A894" s="601" t="s">
        <v>1976</v>
      </c>
      <c r="B894" s="601">
        <v>219004</v>
      </c>
      <c r="E894" s="600" t="s">
        <v>880</v>
      </c>
    </row>
    <row r="895" spans="1:6" x14ac:dyDescent="0.2">
      <c r="A895" s="601" t="s">
        <v>1977</v>
      </c>
      <c r="B895" s="601">
        <v>219005</v>
      </c>
      <c r="E895" s="600" t="s">
        <v>881</v>
      </c>
    </row>
    <row r="896" spans="1:6" x14ac:dyDescent="0.2">
      <c r="A896" s="601"/>
    </row>
    <row r="897" spans="1:6" x14ac:dyDescent="0.2">
      <c r="A897" s="601" t="s">
        <v>1978</v>
      </c>
      <c r="B897" s="601">
        <v>220</v>
      </c>
      <c r="E897" s="600" t="s">
        <v>882</v>
      </c>
      <c r="F897" s="600" t="s">
        <v>2040</v>
      </c>
    </row>
    <row r="898" spans="1:6" x14ac:dyDescent="0.2">
      <c r="A898" s="606" t="s">
        <v>1979</v>
      </c>
      <c r="B898" s="606">
        <v>220001</v>
      </c>
      <c r="C898" s="606"/>
      <c r="D898" s="606"/>
      <c r="E898" s="607" t="s">
        <v>639</v>
      </c>
      <c r="F898" s="600" t="s">
        <v>2038</v>
      </c>
    </row>
    <row r="899" spans="1:6" x14ac:dyDescent="0.2">
      <c r="A899" s="606" t="s">
        <v>1980</v>
      </c>
      <c r="B899" s="606">
        <v>220002</v>
      </c>
      <c r="C899" s="606"/>
      <c r="D899" s="606"/>
      <c r="E899" s="607" t="s">
        <v>640</v>
      </c>
      <c r="F899" s="600" t="s">
        <v>2038</v>
      </c>
    </row>
    <row r="900" spans="1:6" x14ac:dyDescent="0.2">
      <c r="A900" s="606" t="s">
        <v>1981</v>
      </c>
      <c r="B900" s="606">
        <v>220003</v>
      </c>
      <c r="C900" s="606"/>
      <c r="D900" s="606"/>
      <c r="E900" s="607" t="s">
        <v>641</v>
      </c>
      <c r="F900" s="600" t="s">
        <v>2038</v>
      </c>
    </row>
    <row r="901" spans="1:6" x14ac:dyDescent="0.2">
      <c r="A901" s="601" t="s">
        <v>1982</v>
      </c>
      <c r="B901" s="601">
        <v>220004</v>
      </c>
      <c r="E901" s="600" t="s">
        <v>642</v>
      </c>
    </row>
    <row r="902" spans="1:6" x14ac:dyDescent="0.2">
      <c r="A902" s="601" t="s">
        <v>1983</v>
      </c>
      <c r="B902" s="601">
        <v>220005</v>
      </c>
      <c r="E902" s="600" t="s">
        <v>643</v>
      </c>
    </row>
    <row r="903" spans="1:6" x14ac:dyDescent="0.2">
      <c r="A903" s="601" t="s">
        <v>1984</v>
      </c>
      <c r="B903" s="601">
        <v>220006</v>
      </c>
      <c r="E903" s="600" t="s">
        <v>644</v>
      </c>
    </row>
    <row r="904" spans="1:6" x14ac:dyDescent="0.2">
      <c r="A904" s="601"/>
    </row>
    <row r="905" spans="1:6" x14ac:dyDescent="0.2">
      <c r="A905" s="601" t="s">
        <v>1985</v>
      </c>
      <c r="B905" s="601">
        <v>221</v>
      </c>
      <c r="E905" s="600" t="s">
        <v>883</v>
      </c>
      <c r="F905" s="600" t="s">
        <v>2040</v>
      </c>
    </row>
    <row r="906" spans="1:6" x14ac:dyDescent="0.2">
      <c r="A906" s="601" t="s">
        <v>1986</v>
      </c>
      <c r="B906" s="601">
        <v>221001</v>
      </c>
      <c r="E906" s="600" t="s">
        <v>645</v>
      </c>
    </row>
    <row r="907" spans="1:6" x14ac:dyDescent="0.2">
      <c r="A907" s="601" t="s">
        <v>1987</v>
      </c>
      <c r="B907" s="601">
        <v>221002</v>
      </c>
      <c r="E907" s="600" t="s">
        <v>646</v>
      </c>
    </row>
    <row r="908" spans="1:6" x14ac:dyDescent="0.2">
      <c r="A908" s="601" t="s">
        <v>1988</v>
      </c>
      <c r="B908" s="601">
        <v>221003</v>
      </c>
      <c r="E908" s="600" t="s">
        <v>647</v>
      </c>
    </row>
    <row r="909" spans="1:6" x14ac:dyDescent="0.2">
      <c r="A909" s="606" t="s">
        <v>1989</v>
      </c>
      <c r="B909" s="606">
        <v>221004</v>
      </c>
      <c r="C909" s="606"/>
      <c r="D909" s="606"/>
      <c r="E909" s="607" t="s">
        <v>648</v>
      </c>
      <c r="F909" s="600" t="s">
        <v>2038</v>
      </c>
    </row>
    <row r="910" spans="1:6" x14ac:dyDescent="0.2">
      <c r="A910" s="606" t="s">
        <v>1990</v>
      </c>
      <c r="B910" s="606">
        <v>221005</v>
      </c>
      <c r="C910" s="606"/>
      <c r="D910" s="606"/>
      <c r="E910" s="607" t="s">
        <v>649</v>
      </c>
      <c r="F910" s="600" t="s">
        <v>2038</v>
      </c>
    </row>
    <row r="911" spans="1:6" x14ac:dyDescent="0.2">
      <c r="A911" s="601" t="s">
        <v>1991</v>
      </c>
      <c r="B911" s="601">
        <v>221006</v>
      </c>
      <c r="E911" s="600" t="s">
        <v>650</v>
      </c>
    </row>
    <row r="912" spans="1:6" x14ac:dyDescent="0.2">
      <c r="A912" s="601"/>
    </row>
    <row r="913" spans="1:6" x14ac:dyDescent="0.2">
      <c r="A913" s="601" t="s">
        <v>1992</v>
      </c>
      <c r="B913" s="601">
        <v>222</v>
      </c>
      <c r="E913" s="600" t="s">
        <v>884</v>
      </c>
      <c r="F913" s="600" t="s">
        <v>2040</v>
      </c>
    </row>
    <row r="914" spans="1:6" x14ac:dyDescent="0.2">
      <c r="A914" s="601" t="s">
        <v>1993</v>
      </c>
      <c r="B914" s="601">
        <v>222001</v>
      </c>
      <c r="E914" s="600" t="s">
        <v>651</v>
      </c>
    </row>
    <row r="915" spans="1:6" x14ac:dyDescent="0.2">
      <c r="A915" s="601" t="s">
        <v>1994</v>
      </c>
      <c r="B915" s="601">
        <v>222002</v>
      </c>
      <c r="E915" s="600" t="s">
        <v>652</v>
      </c>
    </row>
    <row r="916" spans="1:6" x14ac:dyDescent="0.2">
      <c r="A916" s="601" t="s">
        <v>1995</v>
      </c>
      <c r="B916" s="601">
        <v>222003</v>
      </c>
      <c r="E916" s="600" t="s">
        <v>653</v>
      </c>
    </row>
    <row r="917" spans="1:6" x14ac:dyDescent="0.2">
      <c r="A917" s="601" t="s">
        <v>1996</v>
      </c>
      <c r="B917" s="601">
        <v>222004</v>
      </c>
      <c r="E917" s="600" t="s">
        <v>654</v>
      </c>
    </row>
    <row r="918" spans="1:6" x14ac:dyDescent="0.2">
      <c r="A918" s="601" t="s">
        <v>1997</v>
      </c>
      <c r="B918" s="601">
        <v>222005</v>
      </c>
      <c r="E918" s="600" t="s">
        <v>655</v>
      </c>
    </row>
    <row r="919" spans="1:6" x14ac:dyDescent="0.2">
      <c r="A919" s="601" t="s">
        <v>1998</v>
      </c>
      <c r="B919" s="601">
        <v>222006</v>
      </c>
      <c r="E919" s="600" t="s">
        <v>656</v>
      </c>
    </row>
    <row r="920" spans="1:6" x14ac:dyDescent="0.2">
      <c r="A920" s="601" t="s">
        <v>1999</v>
      </c>
      <c r="B920" s="601">
        <v>222007</v>
      </c>
      <c r="E920" s="600" t="s">
        <v>657</v>
      </c>
    </row>
    <row r="921" spans="1:6" x14ac:dyDescent="0.2">
      <c r="A921" s="601" t="s">
        <v>2000</v>
      </c>
      <c r="B921" s="601">
        <v>222008</v>
      </c>
      <c r="E921" s="600" t="s">
        <v>658</v>
      </c>
    </row>
    <row r="922" spans="1:6" x14ac:dyDescent="0.2">
      <c r="A922" s="601" t="s">
        <v>2001</v>
      </c>
      <c r="B922" s="601">
        <v>222009</v>
      </c>
      <c r="E922" s="600" t="s">
        <v>659</v>
      </c>
    </row>
    <row r="923" spans="1:6" x14ac:dyDescent="0.2">
      <c r="A923" s="601" t="s">
        <v>2002</v>
      </c>
      <c r="B923" s="601">
        <v>222010</v>
      </c>
      <c r="E923" s="600" t="s">
        <v>660</v>
      </c>
    </row>
    <row r="924" spans="1:6" x14ac:dyDescent="0.2">
      <c r="A924" s="601" t="s">
        <v>2003</v>
      </c>
      <c r="B924" s="601">
        <v>222011</v>
      </c>
      <c r="E924" s="600" t="s">
        <v>661</v>
      </c>
    </row>
    <row r="925" spans="1:6" x14ac:dyDescent="0.2">
      <c r="A925" s="601" t="s">
        <v>2004</v>
      </c>
      <c r="B925" s="601">
        <v>222012</v>
      </c>
      <c r="E925" s="600" t="s">
        <v>662</v>
      </c>
    </row>
    <row r="926" spans="1:6" x14ac:dyDescent="0.2">
      <c r="A926" s="601" t="s">
        <v>2005</v>
      </c>
      <c r="B926" s="601">
        <v>222013</v>
      </c>
      <c r="E926" s="600" t="s">
        <v>663</v>
      </c>
    </row>
    <row r="927" spans="1:6" x14ac:dyDescent="0.2">
      <c r="A927" s="601" t="s">
        <v>2006</v>
      </c>
      <c r="B927" s="601">
        <v>222014</v>
      </c>
      <c r="E927" s="600" t="s">
        <v>664</v>
      </c>
    </row>
    <row r="928" spans="1:6" x14ac:dyDescent="0.2">
      <c r="A928" s="601" t="s">
        <v>2007</v>
      </c>
      <c r="B928" s="601">
        <v>222015</v>
      </c>
      <c r="E928" s="600" t="s">
        <v>665</v>
      </c>
    </row>
    <row r="929" spans="1:6" x14ac:dyDescent="0.2">
      <c r="A929" s="601" t="s">
        <v>2008</v>
      </c>
      <c r="B929" s="601">
        <v>222016</v>
      </c>
      <c r="E929" s="600" t="s">
        <v>666</v>
      </c>
    </row>
    <row r="930" spans="1:6" x14ac:dyDescent="0.2">
      <c r="A930" s="601"/>
    </row>
    <row r="931" spans="1:6" x14ac:dyDescent="0.2">
      <c r="A931" s="601" t="s">
        <v>2009</v>
      </c>
      <c r="B931" s="601">
        <v>223</v>
      </c>
      <c r="E931" s="600" t="s">
        <v>885</v>
      </c>
      <c r="F931" s="600" t="s">
        <v>2040</v>
      </c>
    </row>
    <row r="932" spans="1:6" x14ac:dyDescent="0.2">
      <c r="A932" s="601" t="s">
        <v>2010</v>
      </c>
      <c r="B932" s="601">
        <v>223001</v>
      </c>
      <c r="E932" s="600" t="s">
        <v>667</v>
      </c>
    </row>
    <row r="933" spans="1:6" x14ac:dyDescent="0.2">
      <c r="A933" s="601" t="s">
        <v>2011</v>
      </c>
      <c r="B933" s="601">
        <v>223002</v>
      </c>
      <c r="E933" s="600" t="s">
        <v>668</v>
      </c>
    </row>
    <row r="934" spans="1:6" x14ac:dyDescent="0.2">
      <c r="A934" s="606" t="s">
        <v>2012</v>
      </c>
      <c r="B934" s="606">
        <v>223003</v>
      </c>
      <c r="C934" s="606"/>
      <c r="D934" s="606"/>
      <c r="E934" s="607" t="s">
        <v>669</v>
      </c>
      <c r="F934" s="600" t="s">
        <v>2038</v>
      </c>
    </row>
    <row r="935" spans="1:6" x14ac:dyDescent="0.2">
      <c r="A935" s="601" t="s">
        <v>2013</v>
      </c>
      <c r="B935" s="601">
        <v>223004</v>
      </c>
      <c r="E935" s="600" t="s">
        <v>670</v>
      </c>
    </row>
    <row r="936" spans="1:6" x14ac:dyDescent="0.2">
      <c r="A936" s="601" t="s">
        <v>2014</v>
      </c>
      <c r="B936" s="601">
        <v>223005</v>
      </c>
      <c r="E936" s="600" t="s">
        <v>671</v>
      </c>
    </row>
    <row r="937" spans="1:6" x14ac:dyDescent="0.2">
      <c r="A937" s="601" t="s">
        <v>2015</v>
      </c>
      <c r="B937" s="601">
        <v>223006</v>
      </c>
      <c r="E937" s="600" t="s">
        <v>672</v>
      </c>
    </row>
    <row r="938" spans="1:6" x14ac:dyDescent="0.2">
      <c r="A938" s="601" t="s">
        <v>2016</v>
      </c>
      <c r="B938" s="601">
        <v>223007</v>
      </c>
      <c r="E938" s="600" t="s">
        <v>673</v>
      </c>
    </row>
    <row r="939" spans="1:6" x14ac:dyDescent="0.2">
      <c r="A939" s="601" t="s">
        <v>2017</v>
      </c>
      <c r="B939" s="601">
        <v>223008</v>
      </c>
      <c r="E939" s="600" t="s">
        <v>674</v>
      </c>
    </row>
    <row r="940" spans="1:6" x14ac:dyDescent="0.2">
      <c r="A940" s="601" t="s">
        <v>2018</v>
      </c>
      <c r="B940" s="601">
        <v>223009</v>
      </c>
      <c r="E940" s="600" t="s">
        <v>675</v>
      </c>
    </row>
    <row r="941" spans="1:6" x14ac:dyDescent="0.2">
      <c r="A941" s="601" t="s">
        <v>2019</v>
      </c>
      <c r="B941" s="601">
        <v>223010</v>
      </c>
      <c r="E941" s="600" t="s">
        <v>676</v>
      </c>
    </row>
    <row r="942" spans="1:6" x14ac:dyDescent="0.2">
      <c r="A942" s="601"/>
    </row>
    <row r="943" spans="1:6" x14ac:dyDescent="0.2">
      <c r="A943" s="601" t="s">
        <v>2020</v>
      </c>
      <c r="B943" s="601">
        <v>224</v>
      </c>
      <c r="E943" s="600" t="s">
        <v>301</v>
      </c>
      <c r="F943" s="600" t="s">
        <v>2040</v>
      </c>
    </row>
    <row r="944" spans="1:6" x14ac:dyDescent="0.2">
      <c r="A944" s="606" t="s">
        <v>2021</v>
      </c>
      <c r="B944" s="606">
        <v>224001</v>
      </c>
      <c r="C944" s="606"/>
      <c r="D944" s="606"/>
      <c r="E944" s="607" t="s">
        <v>681</v>
      </c>
      <c r="F944" s="600" t="s">
        <v>2038</v>
      </c>
    </row>
    <row r="945" spans="1:6" x14ac:dyDescent="0.2">
      <c r="A945" s="606" t="s">
        <v>2022</v>
      </c>
      <c r="B945" s="606">
        <v>224002</v>
      </c>
      <c r="C945" s="606"/>
      <c r="D945" s="606"/>
      <c r="E945" s="607" t="s">
        <v>682</v>
      </c>
      <c r="F945" s="600" t="s">
        <v>2038</v>
      </c>
    </row>
    <row r="946" spans="1:6" x14ac:dyDescent="0.2">
      <c r="A946" s="601"/>
    </row>
    <row r="947" spans="1:6" x14ac:dyDescent="0.2">
      <c r="A947" s="601" t="s">
        <v>2023</v>
      </c>
      <c r="B947" s="601">
        <v>225</v>
      </c>
      <c r="E947" s="600" t="s">
        <v>886</v>
      </c>
      <c r="F947" s="600" t="s">
        <v>2040</v>
      </c>
    </row>
    <row r="948" spans="1:6" x14ac:dyDescent="0.2">
      <c r="A948" s="606" t="s">
        <v>2024</v>
      </c>
      <c r="B948" s="606">
        <v>225001</v>
      </c>
      <c r="C948" s="606"/>
      <c r="D948" s="606"/>
      <c r="E948" s="607" t="s">
        <v>700</v>
      </c>
      <c r="F948" s="600" t="s">
        <v>2038</v>
      </c>
    </row>
    <row r="949" spans="1:6" x14ac:dyDescent="0.2">
      <c r="A949" s="606" t="s">
        <v>2025</v>
      </c>
      <c r="B949" s="606">
        <v>225002</v>
      </c>
      <c r="C949" s="606"/>
      <c r="D949" s="606"/>
      <c r="E949" s="607" t="s">
        <v>701</v>
      </c>
      <c r="F949" s="600" t="s">
        <v>2038</v>
      </c>
    </row>
    <row r="950" spans="1:6" x14ac:dyDescent="0.2">
      <c r="A950" s="601"/>
    </row>
    <row r="951" spans="1:6" x14ac:dyDescent="0.2">
      <c r="A951" s="601" t="s">
        <v>2026</v>
      </c>
      <c r="B951" s="601">
        <v>226</v>
      </c>
      <c r="E951" s="600" t="s">
        <v>887</v>
      </c>
      <c r="F951" s="600" t="s">
        <v>2040</v>
      </c>
    </row>
    <row r="952" spans="1:6" x14ac:dyDescent="0.2">
      <c r="A952" s="606" t="s">
        <v>2027</v>
      </c>
      <c r="B952" s="606">
        <v>226003</v>
      </c>
      <c r="C952" s="606"/>
      <c r="D952" s="606"/>
      <c r="E952" s="607" t="s">
        <v>689</v>
      </c>
      <c r="F952" s="600" t="s">
        <v>2038</v>
      </c>
    </row>
    <row r="953" spans="1:6" x14ac:dyDescent="0.2">
      <c r="A953" s="606" t="s">
        <v>2028</v>
      </c>
      <c r="B953" s="606">
        <v>226004</v>
      </c>
      <c r="C953" s="606"/>
      <c r="D953" s="606"/>
      <c r="E953" s="607" t="s">
        <v>702</v>
      </c>
      <c r="F953" s="600" t="s">
        <v>2038</v>
      </c>
    </row>
    <row r="954" spans="1:6" x14ac:dyDescent="0.2">
      <c r="A954" s="606" t="s">
        <v>2029</v>
      </c>
      <c r="B954" s="606">
        <v>226005</v>
      </c>
      <c r="C954" s="606"/>
      <c r="D954" s="606"/>
      <c r="E954" s="607" t="s">
        <v>703</v>
      </c>
      <c r="F954" s="600" t="s">
        <v>2038</v>
      </c>
    </row>
    <row r="955" spans="1:6" x14ac:dyDescent="0.2">
      <c r="A955" s="601"/>
    </row>
    <row r="956" spans="1:6" x14ac:dyDescent="0.2">
      <c r="A956" s="601" t="s">
        <v>2030</v>
      </c>
      <c r="B956" s="601">
        <v>227</v>
      </c>
      <c r="E956" s="600" t="s">
        <v>888</v>
      </c>
      <c r="F956" s="600" t="s">
        <v>2040</v>
      </c>
    </row>
    <row r="957" spans="1:6" x14ac:dyDescent="0.2">
      <c r="A957" s="606" t="s">
        <v>2031</v>
      </c>
      <c r="B957" s="606">
        <v>227001</v>
      </c>
      <c r="C957" s="606"/>
      <c r="D957" s="606"/>
      <c r="E957" s="607" t="s">
        <v>694</v>
      </c>
      <c r="F957" s="600" t="s">
        <v>2038</v>
      </c>
    </row>
    <row r="958" spans="1:6" x14ac:dyDescent="0.2">
      <c r="A958" s="606" t="s">
        <v>2032</v>
      </c>
      <c r="B958" s="606">
        <v>227002</v>
      </c>
      <c r="C958" s="606"/>
      <c r="D958" s="606"/>
      <c r="E958" s="607" t="s">
        <v>695</v>
      </c>
      <c r="F958" s="600" t="s">
        <v>2038</v>
      </c>
    </row>
    <row r="959" spans="1:6" x14ac:dyDescent="0.2">
      <c r="A959" s="606" t="s">
        <v>2033</v>
      </c>
      <c r="B959" s="606">
        <v>227003</v>
      </c>
      <c r="C959" s="606"/>
      <c r="D959" s="606"/>
      <c r="E959" s="607" t="s">
        <v>696</v>
      </c>
      <c r="F959" s="600" t="s">
        <v>2038</v>
      </c>
    </row>
    <row r="960" spans="1:6" x14ac:dyDescent="0.2">
      <c r="A960" s="606" t="s">
        <v>2034</v>
      </c>
      <c r="B960" s="606">
        <v>227004</v>
      </c>
      <c r="C960" s="606"/>
      <c r="D960" s="606"/>
      <c r="E960" s="607" t="s">
        <v>697</v>
      </c>
      <c r="F960" s="600" t="s">
        <v>2038</v>
      </c>
    </row>
    <row r="961" spans="1:7" x14ac:dyDescent="0.2">
      <c r="A961" s="606" t="s">
        <v>2035</v>
      </c>
      <c r="B961" s="606">
        <v>227005</v>
      </c>
      <c r="C961" s="606"/>
      <c r="D961" s="606"/>
      <c r="E961" s="607" t="s">
        <v>698</v>
      </c>
      <c r="F961" s="600" t="s">
        <v>2038</v>
      </c>
    </row>
    <row r="962" spans="1:7" x14ac:dyDescent="0.2">
      <c r="A962" s="606" t="s">
        <v>2036</v>
      </c>
      <c r="B962" s="606">
        <v>227006</v>
      </c>
      <c r="C962" s="606"/>
      <c r="D962" s="606"/>
      <c r="E962" s="607" t="s">
        <v>699</v>
      </c>
      <c r="F962" s="600" t="s">
        <v>2038</v>
      </c>
    </row>
    <row r="963" spans="1:7" x14ac:dyDescent="0.2">
      <c r="A963" s="606" t="s">
        <v>2037</v>
      </c>
      <c r="B963" s="606">
        <v>227007</v>
      </c>
      <c r="C963" s="606"/>
      <c r="D963" s="606"/>
      <c r="E963" s="607" t="s">
        <v>693</v>
      </c>
      <c r="F963" s="600" t="s">
        <v>2038</v>
      </c>
    </row>
    <row r="964" spans="1:7" x14ac:dyDescent="0.2">
      <c r="A964" s="601"/>
    </row>
    <row r="965" spans="1:7" x14ac:dyDescent="0.2">
      <c r="E965" s="601"/>
      <c r="G965" s="601"/>
    </row>
    <row r="966" spans="1:7" x14ac:dyDescent="0.2">
      <c r="E966" s="601"/>
      <c r="G966" s="601"/>
    </row>
    <row r="967" spans="1:7" x14ac:dyDescent="0.2">
      <c r="E967" s="601"/>
      <c r="G967" s="601"/>
    </row>
    <row r="968" spans="1:7" x14ac:dyDescent="0.2">
      <c r="E968" s="601"/>
      <c r="G968" s="601"/>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90" zoomScaleNormal="90" zoomScaleSheetLayoutView="90" workbookViewId="0">
      <selection activeCell="C9" sqref="C9"/>
    </sheetView>
  </sheetViews>
  <sheetFormatPr baseColWidth="10" defaultColWidth="11.42578125" defaultRowHeight="20.100000000000001" customHeight="1" x14ac:dyDescent="0.2"/>
  <cols>
    <col min="1" max="1" width="11.140625" style="649" customWidth="1"/>
    <col min="2" max="2" width="19" style="76" customWidth="1"/>
    <col min="3" max="3" width="78.28515625" style="76" customWidth="1"/>
    <col min="4" max="4" width="9.140625" style="104" customWidth="1"/>
    <col min="5" max="5" width="10" style="76" customWidth="1"/>
    <col min="6" max="6" width="15.7109375" style="76" customWidth="1"/>
    <col min="7" max="7" width="55.140625" style="76" customWidth="1"/>
    <col min="8" max="8" width="9.42578125" style="76" customWidth="1"/>
    <col min="9" max="9" width="13.42578125" style="76" customWidth="1"/>
    <col min="10" max="10" width="41" style="488" customWidth="1"/>
    <col min="11" max="11" width="24.85546875" style="76" customWidth="1"/>
    <col min="12" max="16384" width="11.42578125" style="76"/>
  </cols>
  <sheetData>
    <row r="1" spans="1:10" ht="20.100000000000001" customHeight="1" x14ac:dyDescent="0.2">
      <c r="A1" s="760" t="s">
        <v>942</v>
      </c>
      <c r="B1" s="761"/>
      <c r="C1" s="761"/>
      <c r="D1" s="762"/>
      <c r="E1" s="81"/>
      <c r="F1" s="81"/>
      <c r="I1" s="488"/>
      <c r="J1" s="76"/>
    </row>
    <row r="2" spans="1:10" s="87" customFormat="1" ht="20.100000000000001" customHeight="1" x14ac:dyDescent="0.2">
      <c r="A2" s="75" t="s">
        <v>8</v>
      </c>
      <c r="C2" s="744" t="s">
        <v>2111</v>
      </c>
      <c r="D2" s="75"/>
      <c r="E2" s="75"/>
      <c r="F2" s="75"/>
      <c r="I2" s="488"/>
    </row>
    <row r="3" spans="1:10" s="89" customFormat="1" ht="63.75" x14ac:dyDescent="0.2">
      <c r="A3" s="88" t="s">
        <v>9</v>
      </c>
      <c r="C3" s="745" t="s">
        <v>2118</v>
      </c>
      <c r="D3" s="91"/>
      <c r="E3" s="88" t="s">
        <v>2061</v>
      </c>
      <c r="F3" s="91"/>
      <c r="I3" s="489"/>
    </row>
    <row r="4" spans="1:10" s="157" customFormat="1" ht="19.5" customHeight="1" x14ac:dyDescent="0.2">
      <c r="A4" s="155" t="s">
        <v>982</v>
      </c>
      <c r="C4" s="156"/>
      <c r="D4" s="36"/>
      <c r="E4" s="90"/>
      <c r="F4" s="157" t="s">
        <v>2062</v>
      </c>
      <c r="I4" s="490"/>
    </row>
    <row r="5" spans="1:10" s="157" customFormat="1" ht="19.5" customHeight="1" x14ac:dyDescent="0.2">
      <c r="A5" s="155" t="s">
        <v>983</v>
      </c>
      <c r="C5" s="156"/>
      <c r="D5" s="36"/>
      <c r="E5" s="36"/>
      <c r="I5" s="490"/>
    </row>
    <row r="6" spans="1:10" s="157" customFormat="1" ht="19.5" customHeight="1" x14ac:dyDescent="0.2">
      <c r="A6" s="155" t="s">
        <v>984</v>
      </c>
      <c r="C6" s="156"/>
      <c r="D6" s="36"/>
      <c r="E6" s="501"/>
      <c r="F6" s="157" t="s">
        <v>2063</v>
      </c>
      <c r="I6" s="490"/>
    </row>
    <row r="7" spans="1:10" s="157" customFormat="1" ht="19.5" customHeight="1" x14ac:dyDescent="0.2">
      <c r="A7" s="155" t="s">
        <v>985</v>
      </c>
      <c r="C7" s="156"/>
      <c r="D7" s="36"/>
      <c r="E7" s="36"/>
      <c r="I7" s="490"/>
    </row>
    <row r="8" spans="1:10" s="89" customFormat="1" ht="20.100000000000001" customHeight="1" x14ac:dyDescent="0.2">
      <c r="A8" s="88" t="s">
        <v>13</v>
      </c>
      <c r="C8" s="746" t="s">
        <v>2119</v>
      </c>
      <c r="D8" s="91"/>
      <c r="E8" s="654"/>
      <c r="F8" s="157" t="s">
        <v>2064</v>
      </c>
      <c r="I8" s="489"/>
    </row>
    <row r="9" spans="1:10" s="89" customFormat="1" ht="20.100000000000001" customHeight="1" x14ac:dyDescent="0.2">
      <c r="A9" s="88" t="s">
        <v>12</v>
      </c>
      <c r="C9" s="755" t="s">
        <v>2128</v>
      </c>
      <c r="I9" s="489"/>
    </row>
    <row r="10" spans="1:10" s="89" customFormat="1" ht="20.100000000000001" customHeight="1" x14ac:dyDescent="0.2">
      <c r="A10" s="88" t="s">
        <v>30</v>
      </c>
      <c r="C10" s="756" t="s">
        <v>2127</v>
      </c>
      <c r="I10" s="489"/>
    </row>
    <row r="11" spans="1:10" s="89" customFormat="1" ht="20.100000000000001" customHeight="1" x14ac:dyDescent="0.2">
      <c r="A11" s="88" t="s">
        <v>15</v>
      </c>
      <c r="C11" s="747">
        <v>9900000</v>
      </c>
      <c r="I11" s="489"/>
    </row>
    <row r="12" spans="1:10" s="89" customFormat="1" ht="20.100000000000001" customHeight="1" x14ac:dyDescent="0.2">
      <c r="A12" s="88" t="s">
        <v>893</v>
      </c>
      <c r="C12" s="92"/>
      <c r="I12" s="489"/>
    </row>
    <row r="13" spans="1:10" s="89" customFormat="1" ht="20.100000000000001" customHeight="1" x14ac:dyDescent="0.2">
      <c r="A13" s="88" t="s">
        <v>892</v>
      </c>
      <c r="C13" s="757">
        <v>44295</v>
      </c>
      <c r="I13" s="489"/>
    </row>
    <row r="14" spans="1:10" s="89" customFormat="1" ht="20.100000000000001" customHeight="1" x14ac:dyDescent="0.2">
      <c r="A14" s="88" t="s">
        <v>14</v>
      </c>
      <c r="C14" s="758">
        <v>120</v>
      </c>
      <c r="I14" s="489"/>
    </row>
    <row r="15" spans="1:10" s="89" customFormat="1" ht="20.100000000000001" customHeight="1" x14ac:dyDescent="0.2">
      <c r="A15" s="88"/>
      <c r="B15" s="93"/>
      <c r="I15" s="489"/>
    </row>
    <row r="16" spans="1:10" ht="20.100000000000001" customHeight="1" x14ac:dyDescent="0.2">
      <c r="A16" s="763" t="s">
        <v>943</v>
      </c>
      <c r="B16" s="763"/>
      <c r="C16" s="763"/>
      <c r="D16" s="763"/>
      <c r="E16" s="763"/>
      <c r="F16" s="81"/>
      <c r="I16" s="488"/>
      <c r="J16" s="76"/>
    </row>
    <row r="17" spans="1:11" s="89" customFormat="1" ht="20.100000000000001" customHeight="1" x14ac:dyDescent="0.2">
      <c r="A17" s="88" t="s">
        <v>10</v>
      </c>
      <c r="C17" s="501"/>
      <c r="D17" s="105"/>
      <c r="I17" s="489"/>
    </row>
    <row r="18" spans="1:11" s="157" customFormat="1" ht="20.100000000000001" customHeight="1" x14ac:dyDescent="0.2">
      <c r="A18" s="155" t="s">
        <v>1844</v>
      </c>
      <c r="B18" s="497"/>
      <c r="C18" s="501"/>
      <c r="D18" s="36"/>
      <c r="E18" s="36"/>
      <c r="I18" s="490"/>
    </row>
    <row r="19" spans="1:11" s="157" customFormat="1" ht="20.100000000000001" customHeight="1" x14ac:dyDescent="0.2">
      <c r="A19" s="155" t="s">
        <v>1845</v>
      </c>
      <c r="B19" s="497"/>
      <c r="C19" s="501"/>
      <c r="D19" s="36"/>
      <c r="E19" s="36"/>
      <c r="I19" s="490"/>
    </row>
    <row r="20" spans="1:11" s="157" customFormat="1" ht="20.100000000000001" customHeight="1" x14ac:dyDescent="0.2">
      <c r="A20" s="155" t="s">
        <v>1846</v>
      </c>
      <c r="B20" s="497"/>
      <c r="C20" s="501"/>
      <c r="D20" s="36"/>
      <c r="E20" s="36"/>
      <c r="I20" s="490"/>
      <c r="K20" s="157" t="e">
        <f>MATCH(Datos!B32,T_Datos)</f>
        <v>#N/A</v>
      </c>
    </row>
    <row r="21" spans="1:11" s="157" customFormat="1" ht="20.100000000000001" customHeight="1" x14ac:dyDescent="0.2">
      <c r="A21" s="155" t="s">
        <v>1845</v>
      </c>
      <c r="B21" s="497"/>
      <c r="C21" s="501"/>
      <c r="D21" s="36"/>
      <c r="E21" s="36"/>
      <c r="I21" s="490"/>
    </row>
    <row r="22" spans="1:11" s="157" customFormat="1" ht="20.100000000000001" customHeight="1" x14ac:dyDescent="0.2">
      <c r="A22" s="155" t="s">
        <v>1846</v>
      </c>
      <c r="B22" s="497"/>
      <c r="C22" s="501"/>
      <c r="D22" s="36"/>
      <c r="E22" s="36"/>
      <c r="I22" s="490"/>
    </row>
    <row r="23" spans="1:11" s="157" customFormat="1" ht="20.100000000000001" customHeight="1" x14ac:dyDescent="0.2">
      <c r="A23" s="88" t="s">
        <v>1843</v>
      </c>
      <c r="C23" s="501"/>
      <c r="D23" s="105"/>
      <c r="E23" s="89"/>
      <c r="F23" s="89"/>
      <c r="G23" s="89"/>
      <c r="H23" s="89"/>
      <c r="I23" s="490"/>
    </row>
    <row r="24" spans="1:11" s="157" customFormat="1" ht="20.100000000000001" customHeight="1" x14ac:dyDescent="0.2">
      <c r="A24" s="88" t="s">
        <v>937</v>
      </c>
      <c r="C24" s="501"/>
      <c r="D24" s="106"/>
      <c r="E24" s="103"/>
      <c r="F24" s="103"/>
      <c r="G24" s="76"/>
      <c r="H24" s="76"/>
      <c r="I24" s="490"/>
    </row>
    <row r="25" spans="1:11" s="157" customFormat="1" ht="20.100000000000001" customHeight="1" x14ac:dyDescent="0.2">
      <c r="A25" s="88" t="s">
        <v>936</v>
      </c>
      <c r="B25" s="76"/>
      <c r="C25" s="501"/>
      <c r="D25" s="106"/>
      <c r="E25" s="76"/>
      <c r="F25" s="76"/>
      <c r="G25" s="76"/>
      <c r="H25" s="76"/>
      <c r="I25" s="490"/>
    </row>
    <row r="26" spans="1:11" s="157" customFormat="1" ht="20.100000000000001" customHeight="1" x14ac:dyDescent="0.2">
      <c r="A26" s="88" t="s">
        <v>962</v>
      </c>
      <c r="C26" s="501"/>
      <c r="D26" s="106"/>
      <c r="E26" s="76"/>
      <c r="F26" s="76"/>
      <c r="G26" s="76"/>
      <c r="H26" s="76"/>
      <c r="I26" s="490"/>
    </row>
    <row r="27" spans="1:11" s="157" customFormat="1" ht="20.100000000000001" customHeight="1" x14ac:dyDescent="0.2">
      <c r="A27" s="88" t="s">
        <v>935</v>
      </c>
      <c r="B27" s="76"/>
      <c r="C27" s="501"/>
      <c r="D27" s="106"/>
      <c r="E27" s="76"/>
      <c r="F27" s="76"/>
      <c r="G27" s="76"/>
      <c r="H27" s="76"/>
      <c r="I27" s="490"/>
    </row>
    <row r="28" spans="1:11" ht="20.100000000000001" customHeight="1" x14ac:dyDescent="0.2">
      <c r="A28" s="88" t="s">
        <v>939</v>
      </c>
      <c r="C28" s="653">
        <f>PrecioUnitario(1,Costo_Financiero,Gasto_Generales_Porcentaje,Beneficio,Ingresos_Brutos,IVA)</f>
        <v>1</v>
      </c>
      <c r="I28" s="488"/>
      <c r="J28" s="94"/>
    </row>
    <row r="29" spans="1:11" ht="20.100000000000001" customHeight="1" x14ac:dyDescent="0.2">
      <c r="D29" s="78"/>
      <c r="E29" s="104"/>
      <c r="K29" s="94"/>
    </row>
    <row r="30" spans="1:11" ht="20.100000000000001" customHeight="1" x14ac:dyDescent="0.2">
      <c r="B30" s="760" t="s">
        <v>961</v>
      </c>
      <c r="C30" s="761"/>
      <c r="D30" s="761"/>
      <c r="E30" s="762"/>
      <c r="F30" s="81"/>
      <c r="I30" s="488"/>
      <c r="J30" s="94"/>
    </row>
    <row r="31" spans="1:11" ht="20.100000000000001" customHeight="1" x14ac:dyDescent="0.2">
      <c r="G31" s="759" t="s">
        <v>963</v>
      </c>
      <c r="H31" s="759"/>
      <c r="I31" s="488"/>
      <c r="J31" s="94"/>
    </row>
    <row r="32" spans="1:11" ht="27.75" customHeight="1" x14ac:dyDescent="0.2">
      <c r="B32" s="506" t="s">
        <v>894</v>
      </c>
      <c r="C32" s="502" t="s">
        <v>0</v>
      </c>
      <c r="D32" s="507" t="s">
        <v>1</v>
      </c>
      <c r="E32" s="506" t="s">
        <v>2</v>
      </c>
      <c r="F32" s="109"/>
      <c r="G32" s="506" t="s">
        <v>964</v>
      </c>
      <c r="H32" s="506" t="s">
        <v>1</v>
      </c>
      <c r="I32" s="488"/>
      <c r="J32" s="506" t="s">
        <v>1847</v>
      </c>
    </row>
    <row r="33" spans="1:11" ht="20.100000000000001" customHeight="1" x14ac:dyDescent="0.2">
      <c r="B33" s="73"/>
      <c r="C33" s="495"/>
      <c r="D33" s="107"/>
      <c r="E33" s="73"/>
      <c r="F33" s="109"/>
      <c r="G33" s="666"/>
      <c r="H33" s="666"/>
      <c r="I33" s="488"/>
      <c r="J33" s="76"/>
    </row>
    <row r="34" spans="1:11" ht="20.100000000000001" customHeight="1" x14ac:dyDescent="0.2">
      <c r="A34" s="649">
        <f>IF(D34=0,A33,A33+1)</f>
        <v>0</v>
      </c>
      <c r="B34" s="110">
        <v>1</v>
      </c>
      <c r="C34" s="74" t="str">
        <f t="shared" ref="C34:C64" si="0">IFERROR(VLOOKUP(J34,T_Código_Items,2,FALSE),G34)</f>
        <v>DEPARTAMENTO ALBARDON</v>
      </c>
      <c r="D34" s="108">
        <f t="shared" ref="D34:D64" si="1">IFERROR(VLOOKUP(J34,T_Código_Items,3,FALSE),H34)</f>
        <v>0</v>
      </c>
      <c r="E34" s="651"/>
      <c r="F34" s="151"/>
      <c r="G34" s="152" t="s">
        <v>2113</v>
      </c>
      <c r="H34" s="650"/>
      <c r="I34" s="488"/>
      <c r="J34" s="76"/>
    </row>
    <row r="35" spans="1:11" ht="20.100000000000001" customHeight="1" x14ac:dyDescent="0.2">
      <c r="A35" s="649">
        <f t="shared" ref="A35:A98" si="2">IF(D35=0,A34,A34+1)</f>
        <v>1</v>
      </c>
      <c r="B35" s="496" t="s">
        <v>2114</v>
      </c>
      <c r="C35" s="74" t="str">
        <f t="shared" si="0"/>
        <v>Topador D8 potencia minima 270hp</v>
      </c>
      <c r="D35" s="108" t="str">
        <f t="shared" si="1"/>
        <v>h</v>
      </c>
      <c r="E35" s="749">
        <v>300</v>
      </c>
      <c r="F35" s="153"/>
      <c r="G35" s="152" t="s">
        <v>2115</v>
      </c>
      <c r="H35" s="650" t="s">
        <v>2112</v>
      </c>
      <c r="I35" s="498"/>
      <c r="J35" s="76"/>
    </row>
    <row r="36" spans="1:11" ht="20.100000000000001" customHeight="1" x14ac:dyDescent="0.2">
      <c r="A36" s="649">
        <f t="shared" si="2"/>
        <v>1</v>
      </c>
      <c r="B36" s="110">
        <v>2</v>
      </c>
      <c r="C36" s="74" t="str">
        <f t="shared" si="0"/>
        <v>DEPARTAMENTO ULUM-ZONDA</v>
      </c>
      <c r="D36" s="108">
        <f t="shared" si="1"/>
        <v>0</v>
      </c>
      <c r="E36" s="749"/>
      <c r="F36" s="153"/>
      <c r="G36" s="152" t="s">
        <v>2116</v>
      </c>
      <c r="H36" s="650"/>
      <c r="I36" s="499"/>
      <c r="J36" s="76"/>
    </row>
    <row r="37" spans="1:11" ht="20.100000000000001" customHeight="1" x14ac:dyDescent="0.2">
      <c r="A37" s="649">
        <f t="shared" si="2"/>
        <v>2</v>
      </c>
      <c r="B37" s="110">
        <v>2.1</v>
      </c>
      <c r="C37" s="74" t="str">
        <f t="shared" si="0"/>
        <v>Topador D8 potencia minima 270hp</v>
      </c>
      <c r="D37" s="108" t="str">
        <f t="shared" si="1"/>
        <v>h</v>
      </c>
      <c r="E37" s="749">
        <v>500</v>
      </c>
      <c r="F37" s="153"/>
      <c r="G37" s="152" t="s">
        <v>2115</v>
      </c>
      <c r="H37" s="650" t="s">
        <v>2112</v>
      </c>
      <c r="I37" s="488"/>
      <c r="J37" s="76"/>
    </row>
    <row r="38" spans="1:11" ht="20.100000000000001" customHeight="1" x14ac:dyDescent="0.2">
      <c r="A38" s="649">
        <f t="shared" si="2"/>
        <v>2</v>
      </c>
      <c r="B38" s="110"/>
      <c r="C38" s="74">
        <f t="shared" si="0"/>
        <v>0</v>
      </c>
      <c r="D38" s="108">
        <f t="shared" si="1"/>
        <v>0</v>
      </c>
      <c r="E38" s="749"/>
      <c r="F38" s="153"/>
      <c r="G38" s="152"/>
      <c r="H38" s="650"/>
      <c r="I38" s="500"/>
      <c r="J38" s="175"/>
    </row>
    <row r="39" spans="1:11" ht="20.100000000000001" customHeight="1" x14ac:dyDescent="0.2">
      <c r="A39" s="649">
        <f t="shared" si="2"/>
        <v>2</v>
      </c>
      <c r="B39" s="110"/>
      <c r="C39" s="74">
        <f t="shared" si="0"/>
        <v>0</v>
      </c>
      <c r="D39" s="108">
        <f t="shared" si="1"/>
        <v>0</v>
      </c>
      <c r="E39" s="749"/>
      <c r="F39" s="153"/>
      <c r="G39" s="152"/>
      <c r="H39" s="650"/>
      <c r="I39" s="500"/>
      <c r="J39" s="76"/>
    </row>
    <row r="40" spans="1:11" ht="20.100000000000001" customHeight="1" x14ac:dyDescent="0.2">
      <c r="A40" s="649">
        <f t="shared" si="2"/>
        <v>2</v>
      </c>
      <c r="B40" s="110"/>
      <c r="C40" s="74">
        <f t="shared" si="0"/>
        <v>0</v>
      </c>
      <c r="D40" s="108">
        <f t="shared" si="1"/>
        <v>0</v>
      </c>
      <c r="E40" s="749"/>
      <c r="F40" s="153"/>
      <c r="G40" s="152"/>
      <c r="H40" s="650"/>
      <c r="I40" s="500"/>
      <c r="J40" s="76"/>
      <c r="K40" s="95"/>
    </row>
    <row r="41" spans="1:11" ht="20.100000000000001" customHeight="1" x14ac:dyDescent="0.2">
      <c r="A41" s="649">
        <f t="shared" si="2"/>
        <v>2</v>
      </c>
      <c r="B41" s="110"/>
      <c r="C41" s="74">
        <f t="shared" si="0"/>
        <v>0</v>
      </c>
      <c r="D41" s="108">
        <f t="shared" si="1"/>
        <v>0</v>
      </c>
      <c r="E41" s="749"/>
      <c r="F41" s="153"/>
      <c r="G41" s="152"/>
      <c r="H41" s="650"/>
      <c r="I41" s="500"/>
      <c r="J41" s="76"/>
      <c r="K41" s="95"/>
    </row>
    <row r="42" spans="1:11" ht="20.100000000000001" customHeight="1" x14ac:dyDescent="0.2">
      <c r="A42" s="649">
        <f t="shared" si="2"/>
        <v>2</v>
      </c>
      <c r="B42" s="110"/>
      <c r="C42" s="74">
        <f t="shared" si="0"/>
        <v>0</v>
      </c>
      <c r="D42" s="108">
        <f t="shared" si="1"/>
        <v>0</v>
      </c>
      <c r="E42" s="749"/>
      <c r="F42" s="153"/>
      <c r="G42" s="152"/>
      <c r="H42" s="650"/>
      <c r="I42" s="500"/>
      <c r="J42" s="76"/>
      <c r="K42" s="95"/>
    </row>
    <row r="43" spans="1:11" ht="20.100000000000001" customHeight="1" x14ac:dyDescent="0.2">
      <c r="A43" s="649">
        <f t="shared" si="2"/>
        <v>2</v>
      </c>
      <c r="B43" s="110"/>
      <c r="C43" s="74">
        <f t="shared" si="0"/>
        <v>0</v>
      </c>
      <c r="D43" s="108">
        <f t="shared" si="1"/>
        <v>0</v>
      </c>
      <c r="E43" s="749"/>
      <c r="F43" s="153"/>
      <c r="G43" s="152"/>
      <c r="H43" s="650"/>
      <c r="I43" s="500"/>
      <c r="J43" s="76"/>
      <c r="K43" s="95"/>
    </row>
    <row r="44" spans="1:11" ht="20.100000000000001" customHeight="1" x14ac:dyDescent="0.2">
      <c r="A44" s="649">
        <f t="shared" si="2"/>
        <v>2</v>
      </c>
      <c r="B44" s="110"/>
      <c r="C44" s="74">
        <f t="shared" si="0"/>
        <v>0</v>
      </c>
      <c r="D44" s="108">
        <f t="shared" si="1"/>
        <v>0</v>
      </c>
      <c r="E44" s="749"/>
      <c r="F44" s="153"/>
      <c r="G44" s="152"/>
      <c r="H44" s="650"/>
      <c r="I44" s="500"/>
      <c r="J44" s="76"/>
      <c r="K44" s="95"/>
    </row>
    <row r="45" spans="1:11" ht="20.100000000000001" customHeight="1" x14ac:dyDescent="0.2">
      <c r="A45" s="649">
        <f t="shared" si="2"/>
        <v>2</v>
      </c>
      <c r="B45" s="110"/>
      <c r="C45" s="74">
        <f t="shared" si="0"/>
        <v>0</v>
      </c>
      <c r="D45" s="108">
        <f t="shared" si="1"/>
        <v>0</v>
      </c>
      <c r="E45" s="749"/>
      <c r="F45" s="153"/>
      <c r="G45" s="152"/>
      <c r="H45" s="650"/>
      <c r="I45" s="500"/>
      <c r="J45" s="76"/>
      <c r="K45" s="95"/>
    </row>
    <row r="46" spans="1:11" ht="20.100000000000001" customHeight="1" x14ac:dyDescent="0.2">
      <c r="A46" s="649">
        <f t="shared" si="2"/>
        <v>2</v>
      </c>
      <c r="B46" s="110"/>
      <c r="C46" s="74">
        <f t="shared" si="0"/>
        <v>0</v>
      </c>
      <c r="D46" s="108">
        <f t="shared" si="1"/>
        <v>0</v>
      </c>
      <c r="E46" s="652"/>
      <c r="F46" s="153"/>
      <c r="G46" s="152"/>
      <c r="H46" s="650"/>
      <c r="I46" s="500"/>
      <c r="J46" s="76"/>
      <c r="K46" s="95"/>
    </row>
    <row r="47" spans="1:11" ht="20.100000000000001" customHeight="1" x14ac:dyDescent="0.2">
      <c r="A47" s="649">
        <f t="shared" si="2"/>
        <v>2</v>
      </c>
      <c r="B47" s="110"/>
      <c r="C47" s="74">
        <f t="shared" si="0"/>
        <v>0</v>
      </c>
      <c r="D47" s="108">
        <f t="shared" si="1"/>
        <v>0</v>
      </c>
      <c r="E47" s="652"/>
      <c r="F47" s="153"/>
      <c r="G47" s="152"/>
      <c r="H47" s="650"/>
      <c r="I47" s="500"/>
      <c r="J47" s="76"/>
      <c r="K47" s="95"/>
    </row>
    <row r="48" spans="1:11" ht="20.100000000000001" customHeight="1" x14ac:dyDescent="0.2">
      <c r="A48" s="649">
        <f t="shared" si="2"/>
        <v>2</v>
      </c>
      <c r="B48" s="110"/>
      <c r="C48" s="74">
        <f t="shared" si="0"/>
        <v>0</v>
      </c>
      <c r="D48" s="108">
        <f t="shared" si="1"/>
        <v>0</v>
      </c>
      <c r="E48" s="652"/>
      <c r="F48" s="153"/>
      <c r="G48" s="152"/>
      <c r="H48" s="650"/>
      <c r="I48" s="500"/>
      <c r="J48" s="76"/>
      <c r="K48" s="95"/>
    </row>
    <row r="49" spans="1:11" ht="20.100000000000001" customHeight="1" x14ac:dyDescent="0.2">
      <c r="A49" s="649">
        <f t="shared" si="2"/>
        <v>2</v>
      </c>
      <c r="B49" s="110"/>
      <c r="C49" s="74">
        <f t="shared" si="0"/>
        <v>0</v>
      </c>
      <c r="D49" s="108">
        <f t="shared" si="1"/>
        <v>0</v>
      </c>
      <c r="E49" s="652"/>
      <c r="F49" s="153"/>
      <c r="G49" s="152"/>
      <c r="H49" s="650"/>
      <c r="I49" s="500"/>
      <c r="J49" s="76"/>
      <c r="K49" s="95"/>
    </row>
    <row r="50" spans="1:11" ht="20.100000000000001" customHeight="1" x14ac:dyDescent="0.2">
      <c r="A50" s="649">
        <f t="shared" si="2"/>
        <v>2</v>
      </c>
      <c r="B50" s="110"/>
      <c r="C50" s="74">
        <f t="shared" si="0"/>
        <v>0</v>
      </c>
      <c r="D50" s="108">
        <f t="shared" si="1"/>
        <v>0</v>
      </c>
      <c r="E50" s="652"/>
      <c r="F50" s="153"/>
      <c r="G50" s="152"/>
      <c r="H50" s="650"/>
      <c r="I50" s="500"/>
      <c r="J50" s="76"/>
      <c r="K50" s="95"/>
    </row>
    <row r="51" spans="1:11" ht="20.100000000000001" customHeight="1" x14ac:dyDescent="0.2">
      <c r="A51" s="649">
        <f t="shared" si="2"/>
        <v>2</v>
      </c>
      <c r="B51" s="110"/>
      <c r="C51" s="74">
        <f t="shared" si="0"/>
        <v>0</v>
      </c>
      <c r="D51" s="108">
        <f t="shared" si="1"/>
        <v>0</v>
      </c>
      <c r="E51" s="652"/>
      <c r="F51" s="153"/>
      <c r="G51" s="152"/>
      <c r="H51" s="650"/>
      <c r="I51" s="500"/>
      <c r="J51" s="76"/>
      <c r="K51" s="95"/>
    </row>
    <row r="52" spans="1:11" ht="20.100000000000001" customHeight="1" x14ac:dyDescent="0.2">
      <c r="A52" s="649">
        <f t="shared" si="2"/>
        <v>2</v>
      </c>
      <c r="B52" s="110"/>
      <c r="C52" s="74">
        <f t="shared" si="0"/>
        <v>0</v>
      </c>
      <c r="D52" s="108">
        <f t="shared" si="1"/>
        <v>0</v>
      </c>
      <c r="E52" s="652"/>
      <c r="F52" s="153"/>
      <c r="G52" s="152"/>
      <c r="H52" s="650"/>
      <c r="I52" s="500"/>
      <c r="J52" s="76"/>
      <c r="K52" s="95"/>
    </row>
    <row r="53" spans="1:11" ht="20.100000000000001" customHeight="1" x14ac:dyDescent="0.2">
      <c r="A53" s="649">
        <f t="shared" si="2"/>
        <v>2</v>
      </c>
      <c r="B53" s="110"/>
      <c r="C53" s="74">
        <f t="shared" si="0"/>
        <v>0</v>
      </c>
      <c r="D53" s="108">
        <f t="shared" si="1"/>
        <v>0</v>
      </c>
      <c r="E53" s="652"/>
      <c r="F53" s="153"/>
      <c r="G53" s="152"/>
      <c r="H53" s="650"/>
      <c r="I53" s="500"/>
      <c r="J53" s="76"/>
      <c r="K53" s="95"/>
    </row>
    <row r="54" spans="1:11" ht="20.100000000000001" customHeight="1" x14ac:dyDescent="0.2">
      <c r="A54" s="649">
        <f t="shared" si="2"/>
        <v>2</v>
      </c>
      <c r="B54" s="110"/>
      <c r="C54" s="74">
        <f t="shared" si="0"/>
        <v>0</v>
      </c>
      <c r="D54" s="108">
        <f t="shared" si="1"/>
        <v>0</v>
      </c>
      <c r="E54" s="652"/>
      <c r="F54" s="153"/>
      <c r="G54" s="152"/>
      <c r="H54" s="650"/>
      <c r="I54" s="500"/>
      <c r="J54" s="76"/>
      <c r="K54" s="95"/>
    </row>
    <row r="55" spans="1:11" ht="20.100000000000001" customHeight="1" x14ac:dyDescent="0.2">
      <c r="A55" s="649">
        <f t="shared" si="2"/>
        <v>2</v>
      </c>
      <c r="B55" s="110"/>
      <c r="C55" s="74">
        <f t="shared" si="0"/>
        <v>0</v>
      </c>
      <c r="D55" s="108">
        <f t="shared" si="1"/>
        <v>0</v>
      </c>
      <c r="E55" s="652"/>
      <c r="F55" s="153"/>
      <c r="G55" s="152"/>
      <c r="H55" s="650"/>
      <c r="I55" s="500"/>
      <c r="J55" s="76"/>
      <c r="K55" s="95"/>
    </row>
    <row r="56" spans="1:11" ht="20.100000000000001" customHeight="1" x14ac:dyDescent="0.2">
      <c r="A56" s="649">
        <f t="shared" si="2"/>
        <v>2</v>
      </c>
      <c r="B56" s="110"/>
      <c r="C56" s="74">
        <f t="shared" si="0"/>
        <v>0</v>
      </c>
      <c r="D56" s="108">
        <f t="shared" si="1"/>
        <v>0</v>
      </c>
      <c r="E56" s="652"/>
      <c r="F56" s="153"/>
      <c r="G56" s="152"/>
      <c r="H56" s="650"/>
      <c r="I56" s="500"/>
      <c r="J56" s="76"/>
      <c r="K56" s="95"/>
    </row>
    <row r="57" spans="1:11" ht="20.100000000000001" customHeight="1" x14ac:dyDescent="0.2">
      <c r="A57" s="649">
        <f t="shared" si="2"/>
        <v>2</v>
      </c>
      <c r="B57" s="110"/>
      <c r="C57" s="74">
        <f t="shared" si="0"/>
        <v>0</v>
      </c>
      <c r="D57" s="108">
        <f t="shared" si="1"/>
        <v>0</v>
      </c>
      <c r="E57" s="652"/>
      <c r="F57" s="153"/>
      <c r="G57" s="152"/>
      <c r="H57" s="650"/>
      <c r="I57" s="500"/>
      <c r="J57" s="76"/>
    </row>
    <row r="58" spans="1:11" ht="20.100000000000001" customHeight="1" x14ac:dyDescent="0.2">
      <c r="A58" s="649">
        <f t="shared" si="2"/>
        <v>2</v>
      </c>
      <c r="B58" s="110"/>
      <c r="C58" s="74">
        <f t="shared" si="0"/>
        <v>0</v>
      </c>
      <c r="D58" s="108">
        <f t="shared" si="1"/>
        <v>0</v>
      </c>
      <c r="E58" s="652"/>
      <c r="F58" s="153"/>
      <c r="G58" s="152"/>
      <c r="H58" s="650"/>
      <c r="I58" s="500"/>
      <c r="J58" s="76"/>
    </row>
    <row r="59" spans="1:11" ht="20.100000000000001" customHeight="1" x14ac:dyDescent="0.2">
      <c r="A59" s="649">
        <f t="shared" si="2"/>
        <v>2</v>
      </c>
      <c r="B59" s="110"/>
      <c r="C59" s="74">
        <f t="shared" si="0"/>
        <v>0</v>
      </c>
      <c r="D59" s="108">
        <f t="shared" si="1"/>
        <v>0</v>
      </c>
      <c r="E59" s="652"/>
      <c r="F59" s="153"/>
      <c r="G59" s="152"/>
      <c r="H59" s="650"/>
      <c r="I59" s="500"/>
      <c r="J59" s="76"/>
    </row>
    <row r="60" spans="1:11" ht="20.100000000000001" customHeight="1" x14ac:dyDescent="0.2">
      <c r="A60" s="649">
        <f t="shared" si="2"/>
        <v>2</v>
      </c>
      <c r="B60" s="110"/>
      <c r="C60" s="74">
        <f t="shared" si="0"/>
        <v>0</v>
      </c>
      <c r="D60" s="108">
        <f t="shared" si="1"/>
        <v>0</v>
      </c>
      <c r="E60" s="652"/>
      <c r="F60" s="153"/>
      <c r="G60" s="152"/>
      <c r="H60" s="650"/>
      <c r="I60" s="500"/>
      <c r="J60" s="76"/>
    </row>
    <row r="61" spans="1:11" ht="20.100000000000001" customHeight="1" x14ac:dyDescent="0.2">
      <c r="A61" s="649">
        <f t="shared" si="2"/>
        <v>2</v>
      </c>
      <c r="B61" s="110"/>
      <c r="C61" s="74">
        <f t="shared" si="0"/>
        <v>0</v>
      </c>
      <c r="D61" s="108">
        <f t="shared" si="1"/>
        <v>0</v>
      </c>
      <c r="E61" s="652"/>
      <c r="F61" s="153"/>
      <c r="G61" s="152"/>
      <c r="H61" s="650"/>
      <c r="I61" s="500"/>
      <c r="J61" s="76"/>
    </row>
    <row r="62" spans="1:11" ht="20.100000000000001" customHeight="1" x14ac:dyDescent="0.2">
      <c r="A62" s="649">
        <f t="shared" si="2"/>
        <v>2</v>
      </c>
      <c r="B62" s="110"/>
      <c r="C62" s="74">
        <f t="shared" si="0"/>
        <v>0</v>
      </c>
      <c r="D62" s="108">
        <f t="shared" si="1"/>
        <v>0</v>
      </c>
      <c r="E62" s="652"/>
      <c r="F62" s="153"/>
      <c r="G62" s="152"/>
      <c r="H62" s="650"/>
      <c r="I62" s="500"/>
      <c r="J62" s="76"/>
    </row>
    <row r="63" spans="1:11" ht="20.100000000000001" customHeight="1" x14ac:dyDescent="0.2">
      <c r="A63" s="649">
        <f t="shared" si="2"/>
        <v>2</v>
      </c>
      <c r="B63" s="110"/>
      <c r="C63" s="74">
        <f t="shared" si="0"/>
        <v>0</v>
      </c>
      <c r="D63" s="108">
        <f t="shared" si="1"/>
        <v>0</v>
      </c>
      <c r="E63" s="652"/>
      <c r="F63" s="153"/>
      <c r="G63" s="152"/>
      <c r="H63" s="650"/>
      <c r="I63" s="500"/>
      <c r="J63" s="76"/>
    </row>
    <row r="64" spans="1:11" ht="20.100000000000001" customHeight="1" x14ac:dyDescent="0.2">
      <c r="A64" s="649">
        <f t="shared" si="2"/>
        <v>2</v>
      </c>
      <c r="B64" s="110"/>
      <c r="C64" s="74">
        <f t="shared" si="0"/>
        <v>0</v>
      </c>
      <c r="D64" s="108">
        <f t="shared" si="1"/>
        <v>0</v>
      </c>
      <c r="E64" s="652"/>
      <c r="F64" s="153"/>
      <c r="G64" s="152"/>
      <c r="H64" s="650"/>
      <c r="I64" s="500"/>
      <c r="J64" s="76"/>
    </row>
    <row r="65" spans="1:10" ht="20.100000000000001" customHeight="1" x14ac:dyDescent="0.2">
      <c r="A65" s="649">
        <f t="shared" si="2"/>
        <v>2</v>
      </c>
      <c r="B65" s="110"/>
      <c r="C65" s="74">
        <f t="shared" ref="C65:C96" si="3">IFERROR(VLOOKUP(J65,T_Código_Items,2,FALSE),G65)</f>
        <v>0</v>
      </c>
      <c r="D65" s="108">
        <f t="shared" ref="D65:D96" si="4">IFERROR(VLOOKUP(J65,T_Código_Items,3,FALSE),H65)</f>
        <v>0</v>
      </c>
      <c r="E65" s="652"/>
      <c r="F65" s="153"/>
      <c r="G65" s="152"/>
      <c r="H65" s="650"/>
      <c r="I65" s="500"/>
      <c r="J65" s="76"/>
    </row>
    <row r="66" spans="1:10" ht="20.100000000000001" customHeight="1" x14ac:dyDescent="0.2">
      <c r="A66" s="649">
        <f t="shared" si="2"/>
        <v>2</v>
      </c>
      <c r="B66" s="110"/>
      <c r="C66" s="74">
        <f t="shared" si="3"/>
        <v>0</v>
      </c>
      <c r="D66" s="108">
        <f t="shared" si="4"/>
        <v>0</v>
      </c>
      <c r="E66" s="652"/>
      <c r="F66" s="153"/>
      <c r="G66" s="152"/>
      <c r="H66" s="650"/>
      <c r="I66" s="500"/>
      <c r="J66" s="76"/>
    </row>
    <row r="67" spans="1:10" ht="20.100000000000001" customHeight="1" x14ac:dyDescent="0.2">
      <c r="A67" s="649">
        <f t="shared" si="2"/>
        <v>2</v>
      </c>
      <c r="B67" s="110"/>
      <c r="C67" s="74">
        <f t="shared" si="3"/>
        <v>0</v>
      </c>
      <c r="D67" s="108">
        <f t="shared" si="4"/>
        <v>0</v>
      </c>
      <c r="E67" s="652"/>
      <c r="F67" s="153"/>
      <c r="G67" s="152"/>
      <c r="H67" s="650"/>
      <c r="I67" s="500"/>
      <c r="J67" s="76"/>
    </row>
    <row r="68" spans="1:10" ht="20.100000000000001" customHeight="1" x14ac:dyDescent="0.2">
      <c r="A68" s="649">
        <f t="shared" si="2"/>
        <v>2</v>
      </c>
      <c r="B68" s="110"/>
      <c r="C68" s="74">
        <f t="shared" si="3"/>
        <v>0</v>
      </c>
      <c r="D68" s="108">
        <f t="shared" si="4"/>
        <v>0</v>
      </c>
      <c r="E68" s="652"/>
      <c r="F68" s="153"/>
      <c r="G68" s="152"/>
      <c r="H68" s="650"/>
      <c r="I68" s="500"/>
      <c r="J68" s="76"/>
    </row>
    <row r="69" spans="1:10" ht="20.100000000000001" customHeight="1" x14ac:dyDescent="0.2">
      <c r="A69" s="649">
        <f t="shared" si="2"/>
        <v>2</v>
      </c>
      <c r="B69" s="110"/>
      <c r="C69" s="74">
        <f t="shared" si="3"/>
        <v>0</v>
      </c>
      <c r="D69" s="108">
        <f t="shared" si="4"/>
        <v>0</v>
      </c>
      <c r="E69" s="652"/>
      <c r="F69" s="153"/>
      <c r="G69" s="152"/>
      <c r="H69" s="650"/>
      <c r="I69" s="500"/>
      <c r="J69" s="76"/>
    </row>
    <row r="70" spans="1:10" ht="20.100000000000001" customHeight="1" x14ac:dyDescent="0.2">
      <c r="A70" s="649">
        <f t="shared" si="2"/>
        <v>2</v>
      </c>
      <c r="B70" s="110"/>
      <c r="C70" s="74">
        <f t="shared" si="3"/>
        <v>0</v>
      </c>
      <c r="D70" s="108">
        <f t="shared" si="4"/>
        <v>0</v>
      </c>
      <c r="E70" s="652"/>
      <c r="F70" s="153"/>
      <c r="G70" s="152"/>
      <c r="H70" s="650"/>
      <c r="I70" s="500"/>
      <c r="J70" s="76"/>
    </row>
    <row r="71" spans="1:10" ht="20.100000000000001" customHeight="1" x14ac:dyDescent="0.2">
      <c r="A71" s="649">
        <f t="shared" si="2"/>
        <v>2</v>
      </c>
      <c r="B71" s="110"/>
      <c r="C71" s="74">
        <f t="shared" si="3"/>
        <v>0</v>
      </c>
      <c r="D71" s="108">
        <f t="shared" si="4"/>
        <v>0</v>
      </c>
      <c r="E71" s="652"/>
      <c r="F71" s="153"/>
      <c r="G71" s="152"/>
      <c r="H71" s="650"/>
      <c r="I71" s="500"/>
      <c r="J71" s="76"/>
    </row>
    <row r="72" spans="1:10" ht="20.100000000000001" customHeight="1" x14ac:dyDescent="0.2">
      <c r="A72" s="649">
        <f t="shared" si="2"/>
        <v>2</v>
      </c>
      <c r="B72" s="110"/>
      <c r="C72" s="74">
        <f t="shared" si="3"/>
        <v>0</v>
      </c>
      <c r="D72" s="108">
        <f t="shared" si="4"/>
        <v>0</v>
      </c>
      <c r="E72" s="652"/>
      <c r="F72" s="153"/>
      <c r="G72" s="152"/>
      <c r="H72" s="650"/>
      <c r="I72" s="500"/>
      <c r="J72" s="76"/>
    </row>
    <row r="73" spans="1:10" ht="20.100000000000001" customHeight="1" x14ac:dyDescent="0.2">
      <c r="A73" s="649">
        <f t="shared" si="2"/>
        <v>2</v>
      </c>
      <c r="B73" s="110"/>
      <c r="C73" s="74">
        <f t="shared" si="3"/>
        <v>0</v>
      </c>
      <c r="D73" s="108">
        <f t="shared" si="4"/>
        <v>0</v>
      </c>
      <c r="E73" s="652"/>
      <c r="F73" s="153"/>
      <c r="G73" s="152"/>
      <c r="H73" s="650"/>
      <c r="I73" s="500"/>
      <c r="J73" s="76"/>
    </row>
    <row r="74" spans="1:10" ht="20.100000000000001" customHeight="1" x14ac:dyDescent="0.2">
      <c r="A74" s="649">
        <f t="shared" si="2"/>
        <v>2</v>
      </c>
      <c r="B74" s="110"/>
      <c r="C74" s="74">
        <f t="shared" si="3"/>
        <v>0</v>
      </c>
      <c r="D74" s="108">
        <f t="shared" si="4"/>
        <v>0</v>
      </c>
      <c r="E74" s="652"/>
      <c r="F74" s="153"/>
      <c r="G74" s="152"/>
      <c r="H74" s="650"/>
      <c r="I74" s="500"/>
      <c r="J74" s="76"/>
    </row>
    <row r="75" spans="1:10" ht="20.100000000000001" customHeight="1" x14ac:dyDescent="0.2">
      <c r="A75" s="649">
        <f t="shared" si="2"/>
        <v>2</v>
      </c>
      <c r="B75" s="110"/>
      <c r="C75" s="74">
        <f t="shared" si="3"/>
        <v>0</v>
      </c>
      <c r="D75" s="108">
        <f t="shared" si="4"/>
        <v>0</v>
      </c>
      <c r="E75" s="652"/>
      <c r="F75" s="153"/>
      <c r="G75" s="152"/>
      <c r="H75" s="650"/>
      <c r="I75" s="500"/>
      <c r="J75" s="76"/>
    </row>
    <row r="76" spans="1:10" ht="20.100000000000001" customHeight="1" x14ac:dyDescent="0.2">
      <c r="A76" s="649">
        <f t="shared" si="2"/>
        <v>2</v>
      </c>
      <c r="B76" s="110"/>
      <c r="C76" s="74">
        <f t="shared" si="3"/>
        <v>0</v>
      </c>
      <c r="D76" s="108">
        <f t="shared" si="4"/>
        <v>0</v>
      </c>
      <c r="E76" s="652"/>
      <c r="F76" s="153"/>
      <c r="G76" s="152"/>
      <c r="H76" s="650"/>
      <c r="I76" s="500"/>
      <c r="J76" s="76"/>
    </row>
    <row r="77" spans="1:10" ht="20.100000000000001" customHeight="1" x14ac:dyDescent="0.2">
      <c r="A77" s="649">
        <f t="shared" si="2"/>
        <v>2</v>
      </c>
      <c r="B77" s="110"/>
      <c r="C77" s="74">
        <f t="shared" si="3"/>
        <v>0</v>
      </c>
      <c r="D77" s="108">
        <f t="shared" si="4"/>
        <v>0</v>
      </c>
      <c r="E77" s="652"/>
      <c r="F77" s="153"/>
      <c r="G77" s="152"/>
      <c r="H77" s="650"/>
      <c r="I77" s="500"/>
      <c r="J77" s="76"/>
    </row>
    <row r="78" spans="1:10" ht="20.100000000000001" customHeight="1" x14ac:dyDescent="0.2">
      <c r="A78" s="649">
        <f t="shared" si="2"/>
        <v>2</v>
      </c>
      <c r="B78" s="110"/>
      <c r="C78" s="74">
        <f t="shared" si="3"/>
        <v>0</v>
      </c>
      <c r="D78" s="108">
        <f t="shared" si="4"/>
        <v>0</v>
      </c>
      <c r="E78" s="652"/>
      <c r="F78" s="153"/>
      <c r="G78" s="152"/>
      <c r="H78" s="650"/>
      <c r="I78" s="500"/>
      <c r="J78" s="76"/>
    </row>
    <row r="79" spans="1:10" ht="20.100000000000001" customHeight="1" x14ac:dyDescent="0.2">
      <c r="A79" s="649">
        <f t="shared" si="2"/>
        <v>2</v>
      </c>
      <c r="B79" s="110"/>
      <c r="C79" s="74">
        <f t="shared" si="3"/>
        <v>0</v>
      </c>
      <c r="D79" s="108">
        <f t="shared" si="4"/>
        <v>0</v>
      </c>
      <c r="E79" s="652"/>
      <c r="F79" s="153"/>
      <c r="G79" s="152"/>
      <c r="H79" s="650"/>
      <c r="I79" s="500"/>
      <c r="J79" s="76"/>
    </row>
    <row r="80" spans="1:10" ht="20.100000000000001" customHeight="1" x14ac:dyDescent="0.2">
      <c r="A80" s="649">
        <f t="shared" si="2"/>
        <v>2</v>
      </c>
      <c r="B80" s="110"/>
      <c r="C80" s="74">
        <f t="shared" si="3"/>
        <v>0</v>
      </c>
      <c r="D80" s="108">
        <f t="shared" si="4"/>
        <v>0</v>
      </c>
      <c r="E80" s="652"/>
      <c r="F80" s="153"/>
      <c r="G80" s="152"/>
      <c r="H80" s="650"/>
      <c r="I80" s="500"/>
      <c r="J80" s="76"/>
    </row>
    <row r="81" spans="1:10" ht="20.100000000000001" customHeight="1" x14ac:dyDescent="0.2">
      <c r="A81" s="649">
        <f t="shared" si="2"/>
        <v>2</v>
      </c>
      <c r="B81" s="110"/>
      <c r="C81" s="74">
        <f t="shared" si="3"/>
        <v>0</v>
      </c>
      <c r="D81" s="108">
        <f t="shared" si="4"/>
        <v>0</v>
      </c>
      <c r="E81" s="652"/>
      <c r="F81" s="153"/>
      <c r="G81" s="152"/>
      <c r="H81" s="650"/>
      <c r="I81" s="500"/>
      <c r="J81" s="76"/>
    </row>
    <row r="82" spans="1:10" ht="20.100000000000001" customHeight="1" x14ac:dyDescent="0.2">
      <c r="A82" s="649">
        <f t="shared" si="2"/>
        <v>2</v>
      </c>
      <c r="B82" s="110"/>
      <c r="C82" s="74">
        <f t="shared" si="3"/>
        <v>0</v>
      </c>
      <c r="D82" s="108">
        <f t="shared" si="4"/>
        <v>0</v>
      </c>
      <c r="E82" s="652"/>
      <c r="F82" s="153"/>
      <c r="G82" s="152"/>
      <c r="H82" s="650"/>
      <c r="I82" s="500"/>
      <c r="J82" s="76"/>
    </row>
    <row r="83" spans="1:10" ht="20.100000000000001" customHeight="1" x14ac:dyDescent="0.2">
      <c r="A83" s="649">
        <f t="shared" si="2"/>
        <v>2</v>
      </c>
      <c r="B83" s="110"/>
      <c r="C83" s="74">
        <f t="shared" si="3"/>
        <v>0</v>
      </c>
      <c r="D83" s="108">
        <f t="shared" si="4"/>
        <v>0</v>
      </c>
      <c r="E83" s="652"/>
      <c r="F83" s="153"/>
      <c r="G83" s="152"/>
      <c r="H83" s="650"/>
      <c r="I83" s="500"/>
      <c r="J83" s="76"/>
    </row>
    <row r="84" spans="1:10" ht="20.100000000000001" customHeight="1" x14ac:dyDescent="0.2">
      <c r="A84" s="649">
        <f t="shared" si="2"/>
        <v>2</v>
      </c>
      <c r="B84" s="110"/>
      <c r="C84" s="74">
        <f t="shared" si="3"/>
        <v>0</v>
      </c>
      <c r="D84" s="108">
        <f t="shared" si="4"/>
        <v>0</v>
      </c>
      <c r="E84" s="652"/>
      <c r="F84" s="153"/>
      <c r="G84" s="152"/>
      <c r="H84" s="650"/>
      <c r="I84" s="500"/>
      <c r="J84" s="76"/>
    </row>
    <row r="85" spans="1:10" ht="20.100000000000001" customHeight="1" x14ac:dyDescent="0.2">
      <c r="A85" s="649">
        <f t="shared" si="2"/>
        <v>2</v>
      </c>
      <c r="B85" s="110"/>
      <c r="C85" s="74">
        <f t="shared" si="3"/>
        <v>0</v>
      </c>
      <c r="D85" s="108">
        <f t="shared" si="4"/>
        <v>0</v>
      </c>
      <c r="E85" s="652"/>
      <c r="F85" s="153"/>
      <c r="G85" s="152"/>
      <c r="H85" s="650"/>
      <c r="I85" s="500"/>
      <c r="J85" s="76"/>
    </row>
    <row r="86" spans="1:10" ht="20.100000000000001" customHeight="1" x14ac:dyDescent="0.2">
      <c r="A86" s="649">
        <f t="shared" si="2"/>
        <v>2</v>
      </c>
      <c r="B86" s="110"/>
      <c r="C86" s="74">
        <f t="shared" si="3"/>
        <v>0</v>
      </c>
      <c r="D86" s="108">
        <f t="shared" si="4"/>
        <v>0</v>
      </c>
      <c r="E86" s="652"/>
      <c r="F86" s="153"/>
      <c r="G86" s="152"/>
      <c r="H86" s="650"/>
      <c r="I86" s="500"/>
      <c r="J86" s="76"/>
    </row>
    <row r="87" spans="1:10" ht="20.100000000000001" customHeight="1" x14ac:dyDescent="0.2">
      <c r="A87" s="649">
        <f t="shared" si="2"/>
        <v>2</v>
      </c>
      <c r="B87" s="110"/>
      <c r="C87" s="74">
        <f t="shared" si="3"/>
        <v>0</v>
      </c>
      <c r="D87" s="108">
        <f t="shared" si="4"/>
        <v>0</v>
      </c>
      <c r="E87" s="652"/>
      <c r="F87" s="153"/>
      <c r="G87" s="152"/>
      <c r="H87" s="650"/>
      <c r="I87" s="500"/>
      <c r="J87" s="76"/>
    </row>
    <row r="88" spans="1:10" ht="20.100000000000001" customHeight="1" x14ac:dyDescent="0.2">
      <c r="A88" s="649">
        <f t="shared" si="2"/>
        <v>2</v>
      </c>
      <c r="B88" s="110"/>
      <c r="C88" s="74">
        <f t="shared" si="3"/>
        <v>0</v>
      </c>
      <c r="D88" s="108">
        <f t="shared" si="4"/>
        <v>0</v>
      </c>
      <c r="E88" s="652"/>
      <c r="F88" s="153"/>
      <c r="G88" s="152"/>
      <c r="H88" s="650"/>
      <c r="I88" s="500"/>
      <c r="J88" s="76"/>
    </row>
    <row r="89" spans="1:10" ht="20.100000000000001" customHeight="1" x14ac:dyDescent="0.2">
      <c r="A89" s="649">
        <f t="shared" si="2"/>
        <v>2</v>
      </c>
      <c r="B89" s="110"/>
      <c r="C89" s="74">
        <f t="shared" si="3"/>
        <v>0</v>
      </c>
      <c r="D89" s="108">
        <f t="shared" si="4"/>
        <v>0</v>
      </c>
      <c r="E89" s="652"/>
      <c r="F89" s="153"/>
      <c r="G89" s="152"/>
      <c r="H89" s="650"/>
      <c r="I89" s="500"/>
      <c r="J89" s="76"/>
    </row>
    <row r="90" spans="1:10" ht="20.100000000000001" customHeight="1" x14ac:dyDescent="0.2">
      <c r="A90" s="649">
        <f t="shared" si="2"/>
        <v>2</v>
      </c>
      <c r="B90" s="110"/>
      <c r="C90" s="74">
        <f t="shared" si="3"/>
        <v>0</v>
      </c>
      <c r="D90" s="108">
        <f t="shared" si="4"/>
        <v>0</v>
      </c>
      <c r="E90" s="652"/>
      <c r="F90" s="153"/>
      <c r="G90" s="152"/>
      <c r="H90" s="650"/>
      <c r="I90" s="500"/>
      <c r="J90" s="76"/>
    </row>
    <row r="91" spans="1:10" ht="20.100000000000001" customHeight="1" x14ac:dyDescent="0.2">
      <c r="A91" s="649">
        <f t="shared" si="2"/>
        <v>2</v>
      </c>
      <c r="B91" s="110"/>
      <c r="C91" s="74">
        <f t="shared" si="3"/>
        <v>0</v>
      </c>
      <c r="D91" s="108">
        <f t="shared" si="4"/>
        <v>0</v>
      </c>
      <c r="E91" s="652"/>
      <c r="F91" s="153"/>
      <c r="G91" s="152"/>
      <c r="H91" s="650"/>
      <c r="I91" s="500"/>
      <c r="J91" s="76"/>
    </row>
    <row r="92" spans="1:10" ht="20.100000000000001" customHeight="1" x14ac:dyDescent="0.2">
      <c r="A92" s="649">
        <f t="shared" si="2"/>
        <v>2</v>
      </c>
      <c r="B92" s="110"/>
      <c r="C92" s="74">
        <f t="shared" si="3"/>
        <v>0</v>
      </c>
      <c r="D92" s="108">
        <f t="shared" si="4"/>
        <v>0</v>
      </c>
      <c r="E92" s="652"/>
      <c r="F92" s="153"/>
      <c r="G92" s="152"/>
      <c r="H92" s="650"/>
      <c r="I92" s="500"/>
      <c r="J92" s="76"/>
    </row>
    <row r="93" spans="1:10" ht="20.100000000000001" customHeight="1" x14ac:dyDescent="0.2">
      <c r="A93" s="649">
        <f t="shared" si="2"/>
        <v>2</v>
      </c>
      <c r="B93" s="110"/>
      <c r="C93" s="74">
        <f t="shared" si="3"/>
        <v>0</v>
      </c>
      <c r="D93" s="108">
        <f t="shared" si="4"/>
        <v>0</v>
      </c>
      <c r="E93" s="652"/>
      <c r="F93" s="153"/>
      <c r="G93" s="152"/>
      <c r="H93" s="650"/>
      <c r="I93" s="500"/>
      <c r="J93" s="76"/>
    </row>
    <row r="94" spans="1:10" ht="20.100000000000001" customHeight="1" x14ac:dyDescent="0.2">
      <c r="A94" s="649">
        <f t="shared" si="2"/>
        <v>2</v>
      </c>
      <c r="B94" s="110"/>
      <c r="C94" s="74">
        <f t="shared" si="3"/>
        <v>0</v>
      </c>
      <c r="D94" s="108">
        <f t="shared" si="4"/>
        <v>0</v>
      </c>
      <c r="E94" s="652"/>
      <c r="F94" s="153"/>
      <c r="G94" s="152"/>
      <c r="H94" s="650"/>
      <c r="I94" s="500"/>
      <c r="J94" s="76"/>
    </row>
    <row r="95" spans="1:10" ht="20.100000000000001" customHeight="1" x14ac:dyDescent="0.2">
      <c r="A95" s="649">
        <f t="shared" si="2"/>
        <v>2</v>
      </c>
      <c r="B95" s="110"/>
      <c r="C95" s="74">
        <f t="shared" si="3"/>
        <v>0</v>
      </c>
      <c r="D95" s="108">
        <f t="shared" si="4"/>
        <v>0</v>
      </c>
      <c r="E95" s="652"/>
      <c r="F95" s="153"/>
      <c r="G95" s="152"/>
      <c r="H95" s="650"/>
      <c r="I95" s="500"/>
      <c r="J95" s="76"/>
    </row>
    <row r="96" spans="1:10" ht="20.100000000000001" customHeight="1" x14ac:dyDescent="0.2">
      <c r="A96" s="649">
        <f t="shared" si="2"/>
        <v>2</v>
      </c>
      <c r="B96" s="110"/>
      <c r="C96" s="74">
        <f t="shared" si="3"/>
        <v>0</v>
      </c>
      <c r="D96" s="108">
        <f t="shared" si="4"/>
        <v>0</v>
      </c>
      <c r="E96" s="652"/>
      <c r="F96" s="153"/>
      <c r="G96" s="152"/>
      <c r="H96" s="650"/>
      <c r="I96" s="500"/>
      <c r="J96" s="76"/>
    </row>
    <row r="97" spans="1:10" ht="20.100000000000001" customHeight="1" x14ac:dyDescent="0.2">
      <c r="A97" s="649">
        <f t="shared" si="2"/>
        <v>2</v>
      </c>
      <c r="B97" s="110"/>
      <c r="C97" s="74">
        <f t="shared" ref="C97:C128" si="5">IFERROR(VLOOKUP(J97,T_Código_Items,2,FALSE),G97)</f>
        <v>0</v>
      </c>
      <c r="D97" s="108">
        <f t="shared" ref="D97:D128" si="6">IFERROR(VLOOKUP(J97,T_Código_Items,3,FALSE),H97)</f>
        <v>0</v>
      </c>
      <c r="E97" s="652"/>
      <c r="F97" s="153"/>
      <c r="G97" s="152"/>
      <c r="H97" s="650"/>
      <c r="I97" s="500"/>
      <c r="J97" s="76"/>
    </row>
    <row r="98" spans="1:10" ht="20.100000000000001" customHeight="1" x14ac:dyDescent="0.2">
      <c r="A98" s="649">
        <f t="shared" si="2"/>
        <v>2</v>
      </c>
      <c r="B98" s="110"/>
      <c r="C98" s="74">
        <f t="shared" si="5"/>
        <v>0</v>
      </c>
      <c r="D98" s="108">
        <f t="shared" si="6"/>
        <v>0</v>
      </c>
      <c r="E98" s="652"/>
      <c r="F98" s="153"/>
      <c r="G98" s="152"/>
      <c r="H98" s="650"/>
      <c r="I98" s="500"/>
      <c r="J98" s="76"/>
    </row>
    <row r="99" spans="1:10" ht="20.100000000000001" customHeight="1" x14ac:dyDescent="0.2">
      <c r="A99" s="649">
        <f t="shared" ref="A99:A162" si="7">IF(D99=0,A98,A98+1)</f>
        <v>2</v>
      </c>
      <c r="B99" s="110"/>
      <c r="C99" s="74">
        <f t="shared" si="5"/>
        <v>0</v>
      </c>
      <c r="D99" s="108">
        <f t="shared" si="6"/>
        <v>0</v>
      </c>
      <c r="E99" s="652"/>
      <c r="F99" s="153"/>
      <c r="G99" s="152"/>
      <c r="H99" s="650"/>
      <c r="I99" s="500"/>
      <c r="J99" s="76"/>
    </row>
    <row r="100" spans="1:10" ht="20.100000000000001" customHeight="1" x14ac:dyDescent="0.2">
      <c r="A100" s="649">
        <f t="shared" si="7"/>
        <v>2</v>
      </c>
      <c r="B100" s="110"/>
      <c r="C100" s="74">
        <f t="shared" si="5"/>
        <v>0</v>
      </c>
      <c r="D100" s="108">
        <f t="shared" si="6"/>
        <v>0</v>
      </c>
      <c r="E100" s="652"/>
      <c r="F100" s="153"/>
      <c r="G100" s="152"/>
      <c r="H100" s="650"/>
      <c r="I100" s="500"/>
      <c r="J100" s="76"/>
    </row>
    <row r="101" spans="1:10" ht="20.100000000000001" customHeight="1" x14ac:dyDescent="0.2">
      <c r="A101" s="649">
        <f t="shared" si="7"/>
        <v>2</v>
      </c>
      <c r="B101" s="110"/>
      <c r="C101" s="74">
        <f t="shared" si="5"/>
        <v>0</v>
      </c>
      <c r="D101" s="108">
        <f t="shared" si="6"/>
        <v>0</v>
      </c>
      <c r="E101" s="652"/>
      <c r="F101" s="153"/>
      <c r="G101" s="152"/>
      <c r="H101" s="650"/>
      <c r="I101" s="500"/>
      <c r="J101" s="76"/>
    </row>
    <row r="102" spans="1:10" ht="20.100000000000001" customHeight="1" x14ac:dyDescent="0.2">
      <c r="A102" s="649">
        <f t="shared" si="7"/>
        <v>2</v>
      </c>
      <c r="B102" s="110"/>
      <c r="C102" s="74">
        <f t="shared" si="5"/>
        <v>0</v>
      </c>
      <c r="D102" s="108">
        <f t="shared" si="6"/>
        <v>0</v>
      </c>
      <c r="E102" s="652"/>
      <c r="F102" s="153"/>
      <c r="G102" s="152"/>
      <c r="H102" s="650"/>
      <c r="I102" s="500"/>
      <c r="J102" s="76"/>
    </row>
    <row r="103" spans="1:10" ht="20.100000000000001" customHeight="1" x14ac:dyDescent="0.2">
      <c r="A103" s="649">
        <f t="shared" si="7"/>
        <v>2</v>
      </c>
      <c r="B103" s="110"/>
      <c r="C103" s="74">
        <f t="shared" si="5"/>
        <v>0</v>
      </c>
      <c r="D103" s="108">
        <f t="shared" si="6"/>
        <v>0</v>
      </c>
      <c r="E103" s="652"/>
      <c r="F103" s="153"/>
      <c r="G103" s="152"/>
      <c r="H103" s="650"/>
      <c r="I103" s="500"/>
      <c r="J103" s="76"/>
    </row>
    <row r="104" spans="1:10" ht="20.100000000000001" customHeight="1" x14ac:dyDescent="0.2">
      <c r="A104" s="649">
        <f t="shared" si="7"/>
        <v>2</v>
      </c>
      <c r="B104" s="110"/>
      <c r="C104" s="74">
        <f t="shared" si="5"/>
        <v>0</v>
      </c>
      <c r="D104" s="108">
        <f t="shared" si="6"/>
        <v>0</v>
      </c>
      <c r="E104" s="652"/>
      <c r="F104" s="153"/>
      <c r="G104" s="152"/>
      <c r="H104" s="650"/>
      <c r="I104" s="500"/>
      <c r="J104" s="76"/>
    </row>
    <row r="105" spans="1:10" ht="20.100000000000001" customHeight="1" x14ac:dyDescent="0.2">
      <c r="A105" s="649">
        <f t="shared" si="7"/>
        <v>2</v>
      </c>
      <c r="B105" s="110"/>
      <c r="C105" s="74">
        <f t="shared" si="5"/>
        <v>0</v>
      </c>
      <c r="D105" s="108">
        <f t="shared" si="6"/>
        <v>0</v>
      </c>
      <c r="E105" s="652"/>
      <c r="F105" s="153"/>
      <c r="G105" s="152"/>
      <c r="H105" s="650"/>
      <c r="I105" s="500"/>
      <c r="J105" s="76"/>
    </row>
    <row r="106" spans="1:10" ht="20.100000000000001" customHeight="1" x14ac:dyDescent="0.2">
      <c r="A106" s="649">
        <f t="shared" si="7"/>
        <v>2</v>
      </c>
      <c r="B106" s="110"/>
      <c r="C106" s="74">
        <f t="shared" si="5"/>
        <v>0</v>
      </c>
      <c r="D106" s="108">
        <f t="shared" si="6"/>
        <v>0</v>
      </c>
      <c r="E106" s="652"/>
      <c r="F106" s="153"/>
      <c r="G106" s="152"/>
      <c r="H106" s="650"/>
      <c r="I106" s="500"/>
      <c r="J106" s="76"/>
    </row>
    <row r="107" spans="1:10" ht="20.100000000000001" customHeight="1" x14ac:dyDescent="0.2">
      <c r="A107" s="649">
        <f t="shared" si="7"/>
        <v>2</v>
      </c>
      <c r="B107" s="110"/>
      <c r="C107" s="74">
        <f t="shared" si="5"/>
        <v>0</v>
      </c>
      <c r="D107" s="108">
        <f t="shared" si="6"/>
        <v>0</v>
      </c>
      <c r="E107" s="652"/>
      <c r="F107" s="153"/>
      <c r="G107" s="152"/>
      <c r="H107" s="650"/>
      <c r="I107" s="500"/>
      <c r="J107" s="76"/>
    </row>
    <row r="108" spans="1:10" ht="20.100000000000001" customHeight="1" x14ac:dyDescent="0.2">
      <c r="A108" s="649">
        <f t="shared" si="7"/>
        <v>2</v>
      </c>
      <c r="B108" s="110"/>
      <c r="C108" s="74">
        <f t="shared" si="5"/>
        <v>0</v>
      </c>
      <c r="D108" s="108">
        <f t="shared" si="6"/>
        <v>0</v>
      </c>
      <c r="E108" s="652"/>
      <c r="F108" s="153"/>
      <c r="G108" s="152"/>
      <c r="H108" s="650"/>
      <c r="I108" s="500"/>
      <c r="J108" s="76"/>
    </row>
    <row r="109" spans="1:10" ht="20.100000000000001" customHeight="1" x14ac:dyDescent="0.2">
      <c r="A109" s="649">
        <f t="shared" si="7"/>
        <v>2</v>
      </c>
      <c r="B109" s="110"/>
      <c r="C109" s="74">
        <f t="shared" si="5"/>
        <v>0</v>
      </c>
      <c r="D109" s="108">
        <f t="shared" si="6"/>
        <v>0</v>
      </c>
      <c r="E109" s="652"/>
      <c r="F109" s="153"/>
      <c r="G109" s="152"/>
      <c r="H109" s="650"/>
      <c r="I109" s="500"/>
      <c r="J109" s="76"/>
    </row>
    <row r="110" spans="1:10" ht="20.100000000000001" customHeight="1" x14ac:dyDescent="0.2">
      <c r="A110" s="649">
        <f t="shared" si="7"/>
        <v>2</v>
      </c>
      <c r="B110" s="110"/>
      <c r="C110" s="74">
        <f t="shared" si="5"/>
        <v>0</v>
      </c>
      <c r="D110" s="108">
        <f t="shared" si="6"/>
        <v>0</v>
      </c>
      <c r="E110" s="652"/>
      <c r="F110" s="153"/>
      <c r="G110" s="152"/>
      <c r="H110" s="650"/>
      <c r="I110" s="500"/>
      <c r="J110" s="76"/>
    </row>
    <row r="111" spans="1:10" ht="20.100000000000001" customHeight="1" x14ac:dyDescent="0.2">
      <c r="A111" s="649">
        <f t="shared" si="7"/>
        <v>2</v>
      </c>
      <c r="B111" s="110"/>
      <c r="C111" s="74">
        <f t="shared" si="5"/>
        <v>0</v>
      </c>
      <c r="D111" s="108">
        <f t="shared" si="6"/>
        <v>0</v>
      </c>
      <c r="E111" s="652"/>
      <c r="F111" s="153"/>
      <c r="G111" s="152"/>
      <c r="H111" s="650"/>
      <c r="I111" s="500"/>
      <c r="J111" s="76"/>
    </row>
    <row r="112" spans="1:10" ht="20.100000000000001" customHeight="1" x14ac:dyDescent="0.2">
      <c r="A112" s="649">
        <f t="shared" si="7"/>
        <v>2</v>
      </c>
      <c r="B112" s="110"/>
      <c r="C112" s="74">
        <f t="shared" si="5"/>
        <v>0</v>
      </c>
      <c r="D112" s="108">
        <f t="shared" si="6"/>
        <v>0</v>
      </c>
      <c r="E112" s="652"/>
      <c r="F112" s="153"/>
      <c r="G112" s="152"/>
      <c r="H112" s="650"/>
      <c r="I112" s="500"/>
      <c r="J112" s="76"/>
    </row>
    <row r="113" spans="1:10" ht="20.100000000000001" customHeight="1" x14ac:dyDescent="0.2">
      <c r="A113" s="649">
        <f t="shared" si="7"/>
        <v>2</v>
      </c>
      <c r="B113" s="110"/>
      <c r="C113" s="74">
        <f t="shared" si="5"/>
        <v>0</v>
      </c>
      <c r="D113" s="108">
        <f t="shared" si="6"/>
        <v>0</v>
      </c>
      <c r="E113" s="652"/>
      <c r="F113" s="153"/>
      <c r="G113" s="152"/>
      <c r="H113" s="650"/>
      <c r="I113" s="500"/>
      <c r="J113" s="76"/>
    </row>
    <row r="114" spans="1:10" ht="20.100000000000001" customHeight="1" x14ac:dyDescent="0.2">
      <c r="A114" s="649">
        <f t="shared" si="7"/>
        <v>2</v>
      </c>
      <c r="B114" s="110"/>
      <c r="C114" s="74">
        <f t="shared" si="5"/>
        <v>0</v>
      </c>
      <c r="D114" s="108">
        <f t="shared" si="6"/>
        <v>0</v>
      </c>
      <c r="E114" s="652"/>
      <c r="F114" s="153"/>
      <c r="G114" s="152"/>
      <c r="H114" s="650"/>
      <c r="I114" s="500"/>
      <c r="J114" s="76"/>
    </row>
    <row r="115" spans="1:10" ht="20.100000000000001" customHeight="1" x14ac:dyDescent="0.2">
      <c r="A115" s="649">
        <f t="shared" si="7"/>
        <v>2</v>
      </c>
      <c r="B115" s="110"/>
      <c r="C115" s="74">
        <f t="shared" si="5"/>
        <v>0</v>
      </c>
      <c r="D115" s="108">
        <f t="shared" si="6"/>
        <v>0</v>
      </c>
      <c r="E115" s="652"/>
      <c r="F115" s="153"/>
      <c r="G115" s="152"/>
      <c r="H115" s="650"/>
      <c r="I115" s="500"/>
      <c r="J115" s="76"/>
    </row>
    <row r="116" spans="1:10" ht="20.100000000000001" customHeight="1" x14ac:dyDescent="0.2">
      <c r="A116" s="649">
        <f t="shared" si="7"/>
        <v>2</v>
      </c>
      <c r="B116" s="110"/>
      <c r="C116" s="74">
        <f t="shared" si="5"/>
        <v>0</v>
      </c>
      <c r="D116" s="108">
        <f t="shared" si="6"/>
        <v>0</v>
      </c>
      <c r="E116" s="652"/>
      <c r="F116" s="153"/>
      <c r="G116" s="152"/>
      <c r="H116" s="650"/>
      <c r="I116" s="500"/>
      <c r="J116" s="76"/>
    </row>
    <row r="117" spans="1:10" ht="20.100000000000001" customHeight="1" x14ac:dyDescent="0.2">
      <c r="A117" s="649">
        <f t="shared" si="7"/>
        <v>2</v>
      </c>
      <c r="B117" s="110"/>
      <c r="C117" s="74">
        <f t="shared" si="5"/>
        <v>0</v>
      </c>
      <c r="D117" s="108">
        <f t="shared" si="6"/>
        <v>0</v>
      </c>
      <c r="E117" s="652"/>
      <c r="F117" s="153"/>
      <c r="G117" s="152"/>
      <c r="H117" s="650"/>
      <c r="I117" s="500"/>
      <c r="J117" s="76"/>
    </row>
    <row r="118" spans="1:10" ht="20.100000000000001" customHeight="1" x14ac:dyDescent="0.2">
      <c r="A118" s="649">
        <f t="shared" si="7"/>
        <v>2</v>
      </c>
      <c r="B118" s="110"/>
      <c r="C118" s="74">
        <f t="shared" si="5"/>
        <v>0</v>
      </c>
      <c r="D118" s="108">
        <f t="shared" si="6"/>
        <v>0</v>
      </c>
      <c r="E118" s="652"/>
      <c r="F118" s="153"/>
      <c r="G118" s="152"/>
      <c r="H118" s="650"/>
      <c r="I118" s="500"/>
      <c r="J118" s="76"/>
    </row>
    <row r="119" spans="1:10" ht="20.100000000000001" customHeight="1" x14ac:dyDescent="0.2">
      <c r="A119" s="649">
        <f t="shared" si="7"/>
        <v>2</v>
      </c>
      <c r="B119" s="110"/>
      <c r="C119" s="74">
        <f t="shared" si="5"/>
        <v>0</v>
      </c>
      <c r="D119" s="108">
        <f t="shared" si="6"/>
        <v>0</v>
      </c>
      <c r="E119" s="652"/>
      <c r="F119" s="153"/>
      <c r="G119" s="152"/>
      <c r="H119" s="650"/>
      <c r="I119" s="500"/>
      <c r="J119" s="76"/>
    </row>
    <row r="120" spans="1:10" ht="20.100000000000001" customHeight="1" x14ac:dyDescent="0.2">
      <c r="A120" s="649">
        <f t="shared" si="7"/>
        <v>2</v>
      </c>
      <c r="B120" s="110"/>
      <c r="C120" s="74">
        <f t="shared" si="5"/>
        <v>0</v>
      </c>
      <c r="D120" s="108">
        <f t="shared" si="6"/>
        <v>0</v>
      </c>
      <c r="E120" s="652"/>
      <c r="F120" s="153"/>
      <c r="G120" s="152"/>
      <c r="H120" s="650"/>
      <c r="I120" s="500"/>
      <c r="J120" s="76"/>
    </row>
    <row r="121" spans="1:10" ht="20.100000000000001" customHeight="1" x14ac:dyDescent="0.2">
      <c r="A121" s="649">
        <f t="shared" si="7"/>
        <v>2</v>
      </c>
      <c r="B121" s="110"/>
      <c r="C121" s="74">
        <f t="shared" si="5"/>
        <v>0</v>
      </c>
      <c r="D121" s="108">
        <f t="shared" si="6"/>
        <v>0</v>
      </c>
      <c r="E121" s="652"/>
      <c r="F121" s="153"/>
      <c r="G121" s="152"/>
      <c r="H121" s="650"/>
      <c r="I121" s="500"/>
      <c r="J121" s="76"/>
    </row>
    <row r="122" spans="1:10" ht="20.100000000000001" customHeight="1" x14ac:dyDescent="0.2">
      <c r="A122" s="649">
        <f t="shared" si="7"/>
        <v>2</v>
      </c>
      <c r="B122" s="110"/>
      <c r="C122" s="74">
        <f t="shared" si="5"/>
        <v>0</v>
      </c>
      <c r="D122" s="108">
        <f t="shared" si="6"/>
        <v>0</v>
      </c>
      <c r="E122" s="652"/>
      <c r="F122" s="153"/>
      <c r="G122" s="152"/>
      <c r="H122" s="650"/>
      <c r="I122" s="500"/>
      <c r="J122" s="76"/>
    </row>
    <row r="123" spans="1:10" ht="20.100000000000001" customHeight="1" x14ac:dyDescent="0.2">
      <c r="A123" s="649">
        <f t="shared" si="7"/>
        <v>2</v>
      </c>
      <c r="B123" s="110"/>
      <c r="C123" s="74">
        <f t="shared" si="5"/>
        <v>0</v>
      </c>
      <c r="D123" s="108">
        <f t="shared" si="6"/>
        <v>0</v>
      </c>
      <c r="E123" s="652"/>
      <c r="F123" s="153"/>
      <c r="G123" s="152"/>
      <c r="H123" s="650"/>
      <c r="I123" s="500"/>
      <c r="J123" s="76"/>
    </row>
    <row r="124" spans="1:10" ht="20.100000000000001" customHeight="1" x14ac:dyDescent="0.2">
      <c r="A124" s="649">
        <f t="shared" si="7"/>
        <v>2</v>
      </c>
      <c r="B124" s="110"/>
      <c r="C124" s="74">
        <f t="shared" si="5"/>
        <v>0</v>
      </c>
      <c r="D124" s="108">
        <f t="shared" si="6"/>
        <v>0</v>
      </c>
      <c r="E124" s="652"/>
      <c r="F124" s="153"/>
      <c r="G124" s="152"/>
      <c r="H124" s="650"/>
      <c r="I124" s="500"/>
      <c r="J124" s="76"/>
    </row>
    <row r="125" spans="1:10" ht="20.100000000000001" customHeight="1" x14ac:dyDescent="0.2">
      <c r="A125" s="649">
        <f t="shared" si="7"/>
        <v>2</v>
      </c>
      <c r="B125" s="110"/>
      <c r="C125" s="74">
        <f t="shared" si="5"/>
        <v>0</v>
      </c>
      <c r="D125" s="108">
        <f t="shared" si="6"/>
        <v>0</v>
      </c>
      <c r="E125" s="652"/>
      <c r="F125" s="153"/>
      <c r="G125" s="152"/>
      <c r="H125" s="650"/>
      <c r="I125" s="500"/>
      <c r="J125" s="76"/>
    </row>
    <row r="126" spans="1:10" ht="20.100000000000001" customHeight="1" x14ac:dyDescent="0.2">
      <c r="A126" s="649">
        <f t="shared" si="7"/>
        <v>2</v>
      </c>
      <c r="B126" s="110"/>
      <c r="C126" s="74">
        <f t="shared" si="5"/>
        <v>0</v>
      </c>
      <c r="D126" s="108">
        <f t="shared" si="6"/>
        <v>0</v>
      </c>
      <c r="E126" s="652"/>
      <c r="F126" s="153"/>
      <c r="G126" s="152"/>
      <c r="H126" s="650"/>
      <c r="I126" s="500"/>
      <c r="J126" s="76"/>
    </row>
    <row r="127" spans="1:10" ht="20.100000000000001" customHeight="1" x14ac:dyDescent="0.2">
      <c r="A127" s="649">
        <f t="shared" si="7"/>
        <v>2</v>
      </c>
      <c r="B127" s="110"/>
      <c r="C127" s="74">
        <f t="shared" si="5"/>
        <v>0</v>
      </c>
      <c r="D127" s="108">
        <f t="shared" si="6"/>
        <v>0</v>
      </c>
      <c r="E127" s="652"/>
      <c r="F127" s="153"/>
      <c r="G127" s="152"/>
      <c r="H127" s="650"/>
      <c r="I127" s="500"/>
      <c r="J127" s="76"/>
    </row>
    <row r="128" spans="1:10" ht="20.100000000000001" customHeight="1" x14ac:dyDescent="0.2">
      <c r="A128" s="649">
        <f t="shared" si="7"/>
        <v>2</v>
      </c>
      <c r="B128" s="110"/>
      <c r="C128" s="74">
        <f t="shared" si="5"/>
        <v>0</v>
      </c>
      <c r="D128" s="108">
        <f t="shared" si="6"/>
        <v>0</v>
      </c>
      <c r="E128" s="652"/>
      <c r="F128" s="153"/>
      <c r="G128" s="152"/>
      <c r="H128" s="650"/>
      <c r="I128" s="500"/>
      <c r="J128" s="76"/>
    </row>
    <row r="129" spans="1:10" ht="20.100000000000001" customHeight="1" x14ac:dyDescent="0.2">
      <c r="A129" s="649">
        <f t="shared" si="7"/>
        <v>2</v>
      </c>
      <c r="B129" s="110"/>
      <c r="C129" s="74">
        <f t="shared" ref="C129:C160" si="8">IFERROR(VLOOKUP(J129,T_Código_Items,2,FALSE),G129)</f>
        <v>0</v>
      </c>
      <c r="D129" s="108">
        <f t="shared" ref="D129:D160" si="9">IFERROR(VLOOKUP(J129,T_Código_Items,3,FALSE),H129)</f>
        <v>0</v>
      </c>
      <c r="E129" s="652"/>
      <c r="F129" s="153"/>
      <c r="G129" s="152"/>
      <c r="H129" s="650"/>
      <c r="I129" s="500"/>
      <c r="J129" s="76"/>
    </row>
    <row r="130" spans="1:10" ht="20.100000000000001" customHeight="1" x14ac:dyDescent="0.2">
      <c r="A130" s="649">
        <f t="shared" si="7"/>
        <v>2</v>
      </c>
      <c r="B130" s="110"/>
      <c r="C130" s="74">
        <f t="shared" si="8"/>
        <v>0</v>
      </c>
      <c r="D130" s="108">
        <f t="shared" si="9"/>
        <v>0</v>
      </c>
      <c r="E130" s="652"/>
      <c r="F130" s="153"/>
      <c r="G130" s="152"/>
      <c r="H130" s="650"/>
      <c r="I130" s="500"/>
      <c r="J130" s="76"/>
    </row>
    <row r="131" spans="1:10" ht="20.100000000000001" customHeight="1" x14ac:dyDescent="0.2">
      <c r="A131" s="649">
        <f t="shared" si="7"/>
        <v>2</v>
      </c>
      <c r="B131" s="110"/>
      <c r="C131" s="74">
        <f t="shared" si="8"/>
        <v>0</v>
      </c>
      <c r="D131" s="108">
        <f t="shared" si="9"/>
        <v>0</v>
      </c>
      <c r="E131" s="652"/>
      <c r="F131" s="153"/>
      <c r="G131" s="152"/>
      <c r="H131" s="650"/>
      <c r="I131" s="500"/>
      <c r="J131" s="76"/>
    </row>
    <row r="132" spans="1:10" ht="20.100000000000001" customHeight="1" x14ac:dyDescent="0.2">
      <c r="A132" s="649">
        <f t="shared" si="7"/>
        <v>2</v>
      </c>
      <c r="B132" s="110"/>
      <c r="C132" s="74">
        <f t="shared" si="8"/>
        <v>0</v>
      </c>
      <c r="D132" s="108">
        <f t="shared" si="9"/>
        <v>0</v>
      </c>
      <c r="E132" s="652"/>
      <c r="F132" s="153"/>
      <c r="G132" s="152"/>
      <c r="H132" s="650"/>
      <c r="I132" s="500"/>
      <c r="J132" s="76"/>
    </row>
    <row r="133" spans="1:10" ht="20.100000000000001" customHeight="1" x14ac:dyDescent="0.2">
      <c r="A133" s="649">
        <f t="shared" si="7"/>
        <v>2</v>
      </c>
      <c r="B133" s="110"/>
      <c r="C133" s="74">
        <f t="shared" si="8"/>
        <v>0</v>
      </c>
      <c r="D133" s="108">
        <f t="shared" si="9"/>
        <v>0</v>
      </c>
      <c r="E133" s="652"/>
      <c r="F133" s="153"/>
      <c r="G133" s="152"/>
      <c r="H133" s="650"/>
      <c r="I133" s="500"/>
      <c r="J133" s="76"/>
    </row>
    <row r="134" spans="1:10" ht="20.100000000000001" customHeight="1" x14ac:dyDescent="0.2">
      <c r="A134" s="649">
        <f t="shared" si="7"/>
        <v>2</v>
      </c>
      <c r="B134" s="110"/>
      <c r="C134" s="74">
        <f t="shared" si="8"/>
        <v>0</v>
      </c>
      <c r="D134" s="108">
        <f t="shared" si="9"/>
        <v>0</v>
      </c>
      <c r="E134" s="652"/>
      <c r="F134" s="153"/>
      <c r="G134" s="152"/>
      <c r="H134" s="650"/>
      <c r="I134" s="500"/>
      <c r="J134" s="76"/>
    </row>
    <row r="135" spans="1:10" ht="20.100000000000001" customHeight="1" x14ac:dyDescent="0.2">
      <c r="A135" s="649">
        <f t="shared" si="7"/>
        <v>2</v>
      </c>
      <c r="B135" s="110"/>
      <c r="C135" s="74">
        <f t="shared" si="8"/>
        <v>0</v>
      </c>
      <c r="D135" s="108">
        <f t="shared" si="9"/>
        <v>0</v>
      </c>
      <c r="E135" s="652"/>
      <c r="F135" s="153"/>
      <c r="G135" s="152"/>
      <c r="H135" s="650"/>
      <c r="I135" s="500"/>
      <c r="J135" s="76"/>
    </row>
    <row r="136" spans="1:10" ht="20.100000000000001" customHeight="1" x14ac:dyDescent="0.2">
      <c r="A136" s="649">
        <f t="shared" si="7"/>
        <v>2</v>
      </c>
      <c r="B136" s="110"/>
      <c r="C136" s="74">
        <f t="shared" si="8"/>
        <v>0</v>
      </c>
      <c r="D136" s="108">
        <f t="shared" si="9"/>
        <v>0</v>
      </c>
      <c r="E136" s="652"/>
      <c r="F136" s="153"/>
      <c r="G136" s="152"/>
      <c r="H136" s="650"/>
      <c r="I136" s="500"/>
      <c r="J136" s="76"/>
    </row>
    <row r="137" spans="1:10" ht="20.100000000000001" customHeight="1" x14ac:dyDescent="0.2">
      <c r="A137" s="649">
        <f t="shared" si="7"/>
        <v>2</v>
      </c>
      <c r="B137" s="110"/>
      <c r="C137" s="74">
        <f t="shared" si="8"/>
        <v>0</v>
      </c>
      <c r="D137" s="108">
        <f t="shared" si="9"/>
        <v>0</v>
      </c>
      <c r="E137" s="652"/>
      <c r="F137" s="153"/>
      <c r="G137" s="152"/>
      <c r="H137" s="650"/>
      <c r="I137" s="500"/>
      <c r="J137" s="76"/>
    </row>
    <row r="138" spans="1:10" ht="20.100000000000001" customHeight="1" x14ac:dyDescent="0.2">
      <c r="A138" s="649">
        <f t="shared" si="7"/>
        <v>2</v>
      </c>
      <c r="B138" s="110"/>
      <c r="C138" s="74">
        <f t="shared" si="8"/>
        <v>0</v>
      </c>
      <c r="D138" s="108">
        <f t="shared" si="9"/>
        <v>0</v>
      </c>
      <c r="E138" s="652"/>
      <c r="F138" s="153"/>
      <c r="G138" s="152"/>
      <c r="H138" s="650"/>
      <c r="I138" s="500"/>
      <c r="J138" s="76"/>
    </row>
    <row r="139" spans="1:10" ht="20.100000000000001" customHeight="1" x14ac:dyDescent="0.2">
      <c r="A139" s="649">
        <f t="shared" si="7"/>
        <v>2</v>
      </c>
      <c r="B139" s="110"/>
      <c r="C139" s="74">
        <f t="shared" si="8"/>
        <v>0</v>
      </c>
      <c r="D139" s="108">
        <f t="shared" si="9"/>
        <v>0</v>
      </c>
      <c r="E139" s="652"/>
      <c r="F139" s="153"/>
      <c r="G139" s="152"/>
      <c r="H139" s="650"/>
      <c r="I139" s="500"/>
      <c r="J139" s="76"/>
    </row>
    <row r="140" spans="1:10" ht="20.100000000000001" customHeight="1" x14ac:dyDescent="0.2">
      <c r="A140" s="649">
        <f t="shared" si="7"/>
        <v>2</v>
      </c>
      <c r="B140" s="110"/>
      <c r="C140" s="74">
        <f t="shared" si="8"/>
        <v>0</v>
      </c>
      <c r="D140" s="108">
        <f t="shared" si="9"/>
        <v>0</v>
      </c>
      <c r="E140" s="652"/>
      <c r="F140" s="153"/>
      <c r="G140" s="152"/>
      <c r="H140" s="650"/>
      <c r="I140" s="500"/>
      <c r="J140" s="76"/>
    </row>
    <row r="141" spans="1:10" ht="20.100000000000001" customHeight="1" x14ac:dyDescent="0.2">
      <c r="A141" s="649">
        <f t="shared" si="7"/>
        <v>2</v>
      </c>
      <c r="B141" s="110"/>
      <c r="C141" s="74">
        <f t="shared" si="8"/>
        <v>0</v>
      </c>
      <c r="D141" s="108">
        <f t="shared" si="9"/>
        <v>0</v>
      </c>
      <c r="E141" s="652"/>
      <c r="F141" s="153"/>
      <c r="G141" s="152"/>
      <c r="H141" s="650"/>
      <c r="I141" s="500"/>
      <c r="J141" s="76"/>
    </row>
    <row r="142" spans="1:10" ht="20.100000000000001" customHeight="1" x14ac:dyDescent="0.2">
      <c r="A142" s="649">
        <f t="shared" si="7"/>
        <v>2</v>
      </c>
      <c r="B142" s="110"/>
      <c r="C142" s="74">
        <f t="shared" si="8"/>
        <v>0</v>
      </c>
      <c r="D142" s="108">
        <f t="shared" si="9"/>
        <v>0</v>
      </c>
      <c r="E142" s="652"/>
      <c r="F142" s="153"/>
      <c r="G142" s="152"/>
      <c r="H142" s="650"/>
      <c r="I142" s="500"/>
      <c r="J142" s="76"/>
    </row>
    <row r="143" spans="1:10" ht="20.100000000000001" customHeight="1" x14ac:dyDescent="0.2">
      <c r="A143" s="649">
        <f t="shared" si="7"/>
        <v>2</v>
      </c>
      <c r="B143" s="110"/>
      <c r="C143" s="74">
        <f t="shared" si="8"/>
        <v>0</v>
      </c>
      <c r="D143" s="108">
        <f t="shared" si="9"/>
        <v>0</v>
      </c>
      <c r="E143" s="652"/>
      <c r="F143" s="153"/>
      <c r="G143" s="152"/>
      <c r="H143" s="650"/>
      <c r="I143" s="500"/>
      <c r="J143" s="76"/>
    </row>
    <row r="144" spans="1:10" ht="20.100000000000001" customHeight="1" x14ac:dyDescent="0.2">
      <c r="A144" s="649">
        <f t="shared" si="7"/>
        <v>2</v>
      </c>
      <c r="B144" s="110"/>
      <c r="C144" s="74">
        <f t="shared" si="8"/>
        <v>0</v>
      </c>
      <c r="D144" s="108">
        <f t="shared" si="9"/>
        <v>0</v>
      </c>
      <c r="E144" s="652"/>
      <c r="F144" s="153"/>
      <c r="G144" s="152"/>
      <c r="H144" s="650"/>
      <c r="I144" s="500"/>
      <c r="J144" s="76"/>
    </row>
    <row r="145" spans="1:10" ht="20.100000000000001" customHeight="1" x14ac:dyDescent="0.2">
      <c r="A145" s="649">
        <f t="shared" si="7"/>
        <v>2</v>
      </c>
      <c r="B145" s="110"/>
      <c r="C145" s="74">
        <f t="shared" si="8"/>
        <v>0</v>
      </c>
      <c r="D145" s="108">
        <f t="shared" si="9"/>
        <v>0</v>
      </c>
      <c r="E145" s="652"/>
      <c r="F145" s="153"/>
      <c r="G145" s="152"/>
      <c r="H145" s="650"/>
      <c r="I145" s="500"/>
      <c r="J145" s="76"/>
    </row>
    <row r="146" spans="1:10" ht="20.100000000000001" customHeight="1" x14ac:dyDescent="0.2">
      <c r="A146" s="649">
        <f t="shared" si="7"/>
        <v>2</v>
      </c>
      <c r="B146" s="110"/>
      <c r="C146" s="74">
        <f t="shared" si="8"/>
        <v>0</v>
      </c>
      <c r="D146" s="108">
        <f t="shared" si="9"/>
        <v>0</v>
      </c>
      <c r="E146" s="652"/>
      <c r="F146" s="153"/>
      <c r="G146" s="152"/>
      <c r="H146" s="650"/>
      <c r="I146" s="500"/>
      <c r="J146" s="76"/>
    </row>
    <row r="147" spans="1:10" ht="20.100000000000001" customHeight="1" x14ac:dyDescent="0.2">
      <c r="A147" s="649">
        <f t="shared" si="7"/>
        <v>2</v>
      </c>
      <c r="B147" s="110"/>
      <c r="C147" s="74">
        <f t="shared" si="8"/>
        <v>0</v>
      </c>
      <c r="D147" s="108">
        <f t="shared" si="9"/>
        <v>0</v>
      </c>
      <c r="E147" s="652"/>
      <c r="F147" s="153"/>
      <c r="G147" s="152"/>
      <c r="H147" s="650"/>
      <c r="I147" s="500"/>
      <c r="J147" s="76"/>
    </row>
    <row r="148" spans="1:10" ht="20.100000000000001" customHeight="1" x14ac:dyDescent="0.2">
      <c r="A148" s="649">
        <f t="shared" si="7"/>
        <v>2</v>
      </c>
      <c r="B148" s="110"/>
      <c r="C148" s="74">
        <f t="shared" si="8"/>
        <v>0</v>
      </c>
      <c r="D148" s="108">
        <f t="shared" si="9"/>
        <v>0</v>
      </c>
      <c r="E148" s="652"/>
      <c r="F148" s="153"/>
      <c r="G148" s="152"/>
      <c r="H148" s="650"/>
      <c r="I148" s="500"/>
      <c r="J148" s="76"/>
    </row>
    <row r="149" spans="1:10" ht="20.100000000000001" customHeight="1" x14ac:dyDescent="0.2">
      <c r="A149" s="649">
        <f t="shared" si="7"/>
        <v>2</v>
      </c>
      <c r="B149" s="110"/>
      <c r="C149" s="74">
        <f t="shared" si="8"/>
        <v>0</v>
      </c>
      <c r="D149" s="108">
        <f t="shared" si="9"/>
        <v>0</v>
      </c>
      <c r="E149" s="652"/>
      <c r="F149" s="153"/>
      <c r="G149" s="152"/>
      <c r="H149" s="650"/>
      <c r="I149" s="500"/>
      <c r="J149" s="76"/>
    </row>
    <row r="150" spans="1:10" ht="20.100000000000001" customHeight="1" x14ac:dyDescent="0.2">
      <c r="A150" s="649">
        <f t="shared" si="7"/>
        <v>2</v>
      </c>
      <c r="B150" s="110"/>
      <c r="C150" s="74">
        <f t="shared" si="8"/>
        <v>0</v>
      </c>
      <c r="D150" s="108">
        <f t="shared" si="9"/>
        <v>0</v>
      </c>
      <c r="E150" s="652"/>
      <c r="F150" s="153"/>
      <c r="G150" s="152"/>
      <c r="H150" s="650"/>
      <c r="I150" s="500"/>
      <c r="J150" s="76"/>
    </row>
    <row r="151" spans="1:10" ht="20.100000000000001" customHeight="1" x14ac:dyDescent="0.2">
      <c r="A151" s="649">
        <f t="shared" si="7"/>
        <v>2</v>
      </c>
      <c r="B151" s="110"/>
      <c r="C151" s="74">
        <f t="shared" si="8"/>
        <v>0</v>
      </c>
      <c r="D151" s="108">
        <f t="shared" si="9"/>
        <v>0</v>
      </c>
      <c r="E151" s="652"/>
      <c r="F151" s="153"/>
      <c r="G151" s="152"/>
      <c r="H151" s="650"/>
      <c r="I151" s="500"/>
      <c r="J151" s="76"/>
    </row>
    <row r="152" spans="1:10" ht="20.100000000000001" customHeight="1" x14ac:dyDescent="0.2">
      <c r="A152" s="649">
        <f t="shared" si="7"/>
        <v>2</v>
      </c>
      <c r="B152" s="110"/>
      <c r="C152" s="74">
        <f t="shared" si="8"/>
        <v>0</v>
      </c>
      <c r="D152" s="108">
        <f t="shared" si="9"/>
        <v>0</v>
      </c>
      <c r="E152" s="652"/>
      <c r="F152" s="153"/>
      <c r="G152" s="152"/>
      <c r="H152" s="650"/>
      <c r="I152" s="500"/>
      <c r="J152" s="76"/>
    </row>
    <row r="153" spans="1:10" ht="20.100000000000001" customHeight="1" x14ac:dyDescent="0.2">
      <c r="A153" s="649">
        <f t="shared" si="7"/>
        <v>2</v>
      </c>
      <c r="B153" s="110"/>
      <c r="C153" s="74">
        <f t="shared" si="8"/>
        <v>0</v>
      </c>
      <c r="D153" s="108">
        <f t="shared" si="9"/>
        <v>0</v>
      </c>
      <c r="E153" s="652"/>
      <c r="F153" s="153"/>
      <c r="G153" s="152"/>
      <c r="H153" s="650"/>
      <c r="I153" s="500"/>
      <c r="J153" s="76"/>
    </row>
    <row r="154" spans="1:10" ht="20.100000000000001" customHeight="1" x14ac:dyDescent="0.2">
      <c r="A154" s="649">
        <f t="shared" si="7"/>
        <v>2</v>
      </c>
      <c r="B154" s="110"/>
      <c r="C154" s="74">
        <f t="shared" si="8"/>
        <v>0</v>
      </c>
      <c r="D154" s="108">
        <f t="shared" si="9"/>
        <v>0</v>
      </c>
      <c r="E154" s="652"/>
      <c r="F154" s="153"/>
      <c r="G154" s="152"/>
      <c r="H154" s="650"/>
      <c r="I154" s="500"/>
      <c r="J154" s="76"/>
    </row>
    <row r="155" spans="1:10" ht="20.100000000000001" customHeight="1" x14ac:dyDescent="0.2">
      <c r="A155" s="649">
        <f t="shared" si="7"/>
        <v>2</v>
      </c>
      <c r="B155" s="110"/>
      <c r="C155" s="74">
        <f t="shared" si="8"/>
        <v>0</v>
      </c>
      <c r="D155" s="108">
        <f t="shared" si="9"/>
        <v>0</v>
      </c>
      <c r="E155" s="652"/>
      <c r="F155" s="153"/>
      <c r="G155" s="152"/>
      <c r="H155" s="650"/>
      <c r="I155" s="500"/>
      <c r="J155" s="76"/>
    </row>
    <row r="156" spans="1:10" ht="20.100000000000001" customHeight="1" x14ac:dyDescent="0.2">
      <c r="A156" s="649">
        <f t="shared" si="7"/>
        <v>2</v>
      </c>
      <c r="B156" s="110"/>
      <c r="C156" s="74">
        <f t="shared" si="8"/>
        <v>0</v>
      </c>
      <c r="D156" s="108">
        <f t="shared" si="9"/>
        <v>0</v>
      </c>
      <c r="E156" s="652"/>
      <c r="F156" s="153"/>
      <c r="G156" s="152"/>
      <c r="H156" s="650"/>
      <c r="I156" s="500"/>
      <c r="J156" s="76"/>
    </row>
    <row r="157" spans="1:10" ht="20.100000000000001" customHeight="1" x14ac:dyDescent="0.2">
      <c r="A157" s="649">
        <f t="shared" si="7"/>
        <v>2</v>
      </c>
      <c r="B157" s="110"/>
      <c r="C157" s="74">
        <f t="shared" si="8"/>
        <v>0</v>
      </c>
      <c r="D157" s="108">
        <f t="shared" si="9"/>
        <v>0</v>
      </c>
      <c r="E157" s="652"/>
      <c r="F157" s="153"/>
      <c r="G157" s="152"/>
      <c r="H157" s="650"/>
      <c r="I157" s="500"/>
      <c r="J157" s="76"/>
    </row>
    <row r="158" spans="1:10" ht="20.100000000000001" customHeight="1" x14ac:dyDescent="0.2">
      <c r="A158" s="649">
        <f t="shared" si="7"/>
        <v>2</v>
      </c>
      <c r="B158" s="110"/>
      <c r="C158" s="74">
        <f t="shared" si="8"/>
        <v>0</v>
      </c>
      <c r="D158" s="108">
        <f t="shared" si="9"/>
        <v>0</v>
      </c>
      <c r="E158" s="652"/>
      <c r="F158" s="153"/>
      <c r="G158" s="152"/>
      <c r="H158" s="650"/>
      <c r="I158" s="500"/>
      <c r="J158" s="76"/>
    </row>
    <row r="159" spans="1:10" ht="20.100000000000001" customHeight="1" x14ac:dyDescent="0.2">
      <c r="A159" s="649">
        <f t="shared" si="7"/>
        <v>2</v>
      </c>
      <c r="B159" s="110"/>
      <c r="C159" s="74">
        <f t="shared" si="8"/>
        <v>0</v>
      </c>
      <c r="D159" s="108">
        <f t="shared" si="9"/>
        <v>0</v>
      </c>
      <c r="E159" s="652"/>
      <c r="F159" s="153"/>
      <c r="G159" s="152"/>
      <c r="H159" s="650"/>
      <c r="I159" s="500"/>
      <c r="J159" s="76"/>
    </row>
    <row r="160" spans="1:10" ht="20.100000000000001" customHeight="1" x14ac:dyDescent="0.2">
      <c r="A160" s="649">
        <f t="shared" si="7"/>
        <v>2</v>
      </c>
      <c r="B160" s="110"/>
      <c r="C160" s="74">
        <f t="shared" si="8"/>
        <v>0</v>
      </c>
      <c r="D160" s="108">
        <f t="shared" si="9"/>
        <v>0</v>
      </c>
      <c r="E160" s="652"/>
      <c r="F160" s="153"/>
      <c r="G160" s="152"/>
      <c r="H160" s="650"/>
      <c r="I160" s="500"/>
      <c r="J160" s="76"/>
    </row>
    <row r="161" spans="1:10" ht="20.100000000000001" customHeight="1" x14ac:dyDescent="0.2">
      <c r="A161" s="649">
        <f t="shared" si="7"/>
        <v>2</v>
      </c>
      <c r="B161" s="110"/>
      <c r="C161" s="74">
        <f t="shared" ref="C161:C183" si="10">IFERROR(VLOOKUP(J161,T_Código_Items,2,FALSE),G161)</f>
        <v>0</v>
      </c>
      <c r="D161" s="108">
        <f t="shared" ref="D161:D183" si="11">IFERROR(VLOOKUP(J161,T_Código_Items,3,FALSE),H161)</f>
        <v>0</v>
      </c>
      <c r="E161" s="652"/>
      <c r="F161" s="153"/>
      <c r="G161" s="152"/>
      <c r="H161" s="650"/>
      <c r="I161" s="500"/>
      <c r="J161" s="76"/>
    </row>
    <row r="162" spans="1:10" ht="20.100000000000001" customHeight="1" x14ac:dyDescent="0.2">
      <c r="A162" s="649">
        <f t="shared" si="7"/>
        <v>2</v>
      </c>
      <c r="B162" s="110"/>
      <c r="C162" s="74">
        <f t="shared" si="10"/>
        <v>0</v>
      </c>
      <c r="D162" s="108">
        <f t="shared" si="11"/>
        <v>0</v>
      </c>
      <c r="E162" s="652"/>
      <c r="F162" s="153"/>
      <c r="G162" s="152"/>
      <c r="H162" s="650"/>
      <c r="I162" s="500"/>
      <c r="J162" s="76"/>
    </row>
    <row r="163" spans="1:10" ht="20.100000000000001" customHeight="1" x14ac:dyDescent="0.2">
      <c r="A163" s="649">
        <f t="shared" ref="A163:A183" si="12">IF(D163=0,A162,A162+1)</f>
        <v>2</v>
      </c>
      <c r="B163" s="110"/>
      <c r="C163" s="74">
        <f t="shared" si="10"/>
        <v>0</v>
      </c>
      <c r="D163" s="108">
        <f t="shared" si="11"/>
        <v>0</v>
      </c>
      <c r="E163" s="652"/>
      <c r="F163" s="153"/>
      <c r="G163" s="152"/>
      <c r="H163" s="650"/>
      <c r="I163" s="500"/>
      <c r="J163" s="76"/>
    </row>
    <row r="164" spans="1:10" ht="20.100000000000001" customHeight="1" x14ac:dyDescent="0.2">
      <c r="A164" s="649">
        <f t="shared" si="12"/>
        <v>2</v>
      </c>
      <c r="B164" s="110"/>
      <c r="C164" s="74">
        <f t="shared" si="10"/>
        <v>0</v>
      </c>
      <c r="D164" s="108">
        <f t="shared" si="11"/>
        <v>0</v>
      </c>
      <c r="E164" s="652"/>
      <c r="F164" s="153"/>
      <c r="G164" s="152"/>
      <c r="H164" s="650"/>
      <c r="I164" s="500"/>
      <c r="J164" s="76"/>
    </row>
    <row r="165" spans="1:10" ht="20.100000000000001" customHeight="1" x14ac:dyDescent="0.2">
      <c r="A165" s="649">
        <f t="shared" si="12"/>
        <v>2</v>
      </c>
      <c r="B165" s="110"/>
      <c r="C165" s="74">
        <f t="shared" si="10"/>
        <v>0</v>
      </c>
      <c r="D165" s="108">
        <f t="shared" si="11"/>
        <v>0</v>
      </c>
      <c r="E165" s="652"/>
      <c r="F165" s="153"/>
      <c r="G165" s="152"/>
      <c r="H165" s="650"/>
      <c r="I165" s="500"/>
      <c r="J165" s="76"/>
    </row>
    <row r="166" spans="1:10" ht="20.100000000000001" customHeight="1" x14ac:dyDescent="0.2">
      <c r="A166" s="649">
        <f t="shared" si="12"/>
        <v>2</v>
      </c>
      <c r="B166" s="110"/>
      <c r="C166" s="74">
        <f t="shared" si="10"/>
        <v>0</v>
      </c>
      <c r="D166" s="108">
        <f t="shared" si="11"/>
        <v>0</v>
      </c>
      <c r="E166" s="652"/>
      <c r="F166" s="153"/>
      <c r="G166" s="152"/>
      <c r="H166" s="650"/>
      <c r="I166" s="500"/>
      <c r="J166" s="76"/>
    </row>
    <row r="167" spans="1:10" ht="20.100000000000001" customHeight="1" x14ac:dyDescent="0.2">
      <c r="A167" s="649">
        <f t="shared" si="12"/>
        <v>2</v>
      </c>
      <c r="B167" s="110"/>
      <c r="C167" s="74">
        <f t="shared" si="10"/>
        <v>0</v>
      </c>
      <c r="D167" s="108">
        <f t="shared" si="11"/>
        <v>0</v>
      </c>
      <c r="E167" s="652"/>
      <c r="F167" s="153"/>
      <c r="G167" s="152"/>
      <c r="H167" s="650"/>
      <c r="I167" s="500"/>
      <c r="J167" s="76"/>
    </row>
    <row r="168" spans="1:10" ht="20.100000000000001" customHeight="1" x14ac:dyDescent="0.2">
      <c r="A168" s="649">
        <f t="shared" si="12"/>
        <v>2</v>
      </c>
      <c r="B168" s="110"/>
      <c r="C168" s="74">
        <f t="shared" si="10"/>
        <v>0</v>
      </c>
      <c r="D168" s="108">
        <f t="shared" si="11"/>
        <v>0</v>
      </c>
      <c r="E168" s="652"/>
      <c r="F168" s="153"/>
      <c r="G168" s="152"/>
      <c r="H168" s="650"/>
      <c r="I168" s="500"/>
      <c r="J168" s="76"/>
    </row>
    <row r="169" spans="1:10" ht="20.100000000000001" customHeight="1" x14ac:dyDescent="0.2">
      <c r="A169" s="649">
        <f t="shared" si="12"/>
        <v>2</v>
      </c>
      <c r="B169" s="110"/>
      <c r="C169" s="74">
        <f t="shared" si="10"/>
        <v>0</v>
      </c>
      <c r="D169" s="108">
        <f t="shared" si="11"/>
        <v>0</v>
      </c>
      <c r="E169" s="652"/>
      <c r="F169" s="153"/>
      <c r="G169" s="152"/>
      <c r="H169" s="650"/>
      <c r="I169" s="500"/>
      <c r="J169" s="76"/>
    </row>
    <row r="170" spans="1:10" ht="20.100000000000001" customHeight="1" x14ac:dyDescent="0.2">
      <c r="A170" s="649">
        <f t="shared" si="12"/>
        <v>2</v>
      </c>
      <c r="B170" s="110"/>
      <c r="C170" s="74">
        <f t="shared" si="10"/>
        <v>0</v>
      </c>
      <c r="D170" s="108">
        <f t="shared" si="11"/>
        <v>0</v>
      </c>
      <c r="E170" s="652"/>
      <c r="F170" s="153"/>
      <c r="G170" s="152"/>
      <c r="H170" s="650"/>
      <c r="I170" s="500"/>
      <c r="J170" s="76"/>
    </row>
    <row r="171" spans="1:10" ht="20.100000000000001" customHeight="1" x14ac:dyDescent="0.2">
      <c r="A171" s="649">
        <f t="shared" si="12"/>
        <v>2</v>
      </c>
      <c r="B171" s="110"/>
      <c r="C171" s="74">
        <f t="shared" si="10"/>
        <v>0</v>
      </c>
      <c r="D171" s="108">
        <f t="shared" si="11"/>
        <v>0</v>
      </c>
      <c r="E171" s="652"/>
      <c r="F171" s="153"/>
      <c r="G171" s="152"/>
      <c r="H171" s="650"/>
      <c r="I171" s="500"/>
      <c r="J171" s="76"/>
    </row>
    <row r="172" spans="1:10" ht="20.100000000000001" customHeight="1" x14ac:dyDescent="0.2">
      <c r="A172" s="649">
        <f t="shared" si="12"/>
        <v>2</v>
      </c>
      <c r="B172" s="110"/>
      <c r="C172" s="74">
        <f t="shared" si="10"/>
        <v>0</v>
      </c>
      <c r="D172" s="108">
        <f t="shared" si="11"/>
        <v>0</v>
      </c>
      <c r="E172" s="652"/>
      <c r="F172" s="153"/>
      <c r="G172" s="152"/>
      <c r="H172" s="650"/>
      <c r="I172" s="500"/>
      <c r="J172" s="76"/>
    </row>
    <row r="173" spans="1:10" ht="20.100000000000001" customHeight="1" x14ac:dyDescent="0.2">
      <c r="A173" s="649">
        <f t="shared" si="12"/>
        <v>2</v>
      </c>
      <c r="B173" s="110"/>
      <c r="C173" s="74">
        <f t="shared" si="10"/>
        <v>0</v>
      </c>
      <c r="D173" s="108">
        <f t="shared" si="11"/>
        <v>0</v>
      </c>
      <c r="E173" s="652"/>
      <c r="F173" s="153"/>
      <c r="G173" s="152"/>
      <c r="H173" s="650"/>
      <c r="I173" s="500"/>
      <c r="J173" s="76"/>
    </row>
    <row r="174" spans="1:10" ht="20.100000000000001" customHeight="1" x14ac:dyDescent="0.2">
      <c r="A174" s="649">
        <f t="shared" si="12"/>
        <v>2</v>
      </c>
      <c r="B174" s="110"/>
      <c r="C174" s="74">
        <f t="shared" si="10"/>
        <v>0</v>
      </c>
      <c r="D174" s="108">
        <f t="shared" si="11"/>
        <v>0</v>
      </c>
      <c r="E174" s="652"/>
      <c r="F174" s="153"/>
      <c r="G174" s="152"/>
      <c r="H174" s="650"/>
      <c r="I174" s="500"/>
      <c r="J174" s="76"/>
    </row>
    <row r="175" spans="1:10" ht="20.100000000000001" customHeight="1" x14ac:dyDescent="0.2">
      <c r="A175" s="649">
        <f t="shared" si="12"/>
        <v>2</v>
      </c>
      <c r="B175" s="110"/>
      <c r="C175" s="74">
        <f t="shared" si="10"/>
        <v>0</v>
      </c>
      <c r="D175" s="108">
        <f t="shared" si="11"/>
        <v>0</v>
      </c>
      <c r="E175" s="652"/>
      <c r="F175" s="153"/>
      <c r="G175" s="152"/>
      <c r="H175" s="650"/>
      <c r="I175" s="500"/>
      <c r="J175" s="76"/>
    </row>
    <row r="176" spans="1:10" ht="20.100000000000001" customHeight="1" x14ac:dyDescent="0.2">
      <c r="A176" s="649">
        <f t="shared" si="12"/>
        <v>2</v>
      </c>
      <c r="B176" s="110"/>
      <c r="C176" s="74">
        <f t="shared" si="10"/>
        <v>0</v>
      </c>
      <c r="D176" s="108">
        <f t="shared" si="11"/>
        <v>0</v>
      </c>
      <c r="E176" s="652"/>
      <c r="F176" s="153"/>
      <c r="G176" s="152"/>
      <c r="H176" s="650"/>
      <c r="I176" s="500"/>
      <c r="J176" s="76"/>
    </row>
    <row r="177" spans="1:10" ht="20.100000000000001" customHeight="1" x14ac:dyDescent="0.2">
      <c r="A177" s="649">
        <f t="shared" si="12"/>
        <v>2</v>
      </c>
      <c r="B177" s="110"/>
      <c r="C177" s="74">
        <f t="shared" si="10"/>
        <v>0</v>
      </c>
      <c r="D177" s="108">
        <f t="shared" si="11"/>
        <v>0</v>
      </c>
      <c r="E177" s="652"/>
      <c r="F177" s="153"/>
      <c r="G177" s="152"/>
      <c r="H177" s="650"/>
      <c r="I177" s="500"/>
      <c r="J177" s="76"/>
    </row>
    <row r="178" spans="1:10" ht="20.100000000000001" customHeight="1" x14ac:dyDescent="0.2">
      <c r="A178" s="649">
        <f t="shared" si="12"/>
        <v>2</v>
      </c>
      <c r="B178" s="110"/>
      <c r="C178" s="74">
        <f t="shared" si="10"/>
        <v>0</v>
      </c>
      <c r="D178" s="108">
        <f t="shared" si="11"/>
        <v>0</v>
      </c>
      <c r="E178" s="652"/>
      <c r="F178" s="153"/>
      <c r="G178" s="152"/>
      <c r="H178" s="650"/>
      <c r="I178" s="500"/>
      <c r="J178" s="76"/>
    </row>
    <row r="179" spans="1:10" ht="20.100000000000001" customHeight="1" x14ac:dyDescent="0.2">
      <c r="A179" s="649">
        <f t="shared" si="12"/>
        <v>2</v>
      </c>
      <c r="B179" s="110"/>
      <c r="C179" s="74">
        <f t="shared" si="10"/>
        <v>0</v>
      </c>
      <c r="D179" s="108">
        <f t="shared" si="11"/>
        <v>0</v>
      </c>
      <c r="E179" s="652"/>
      <c r="F179" s="153"/>
      <c r="G179" s="152"/>
      <c r="H179" s="650"/>
      <c r="I179" s="500"/>
      <c r="J179" s="76"/>
    </row>
    <row r="180" spans="1:10" ht="20.100000000000001" customHeight="1" x14ac:dyDescent="0.2">
      <c r="A180" s="649">
        <f t="shared" si="12"/>
        <v>2</v>
      </c>
      <c r="B180" s="110"/>
      <c r="C180" s="74">
        <f t="shared" si="10"/>
        <v>0</v>
      </c>
      <c r="D180" s="108">
        <f t="shared" si="11"/>
        <v>0</v>
      </c>
      <c r="E180" s="652"/>
      <c r="F180" s="153"/>
      <c r="G180" s="152"/>
      <c r="H180" s="650"/>
      <c r="I180" s="500"/>
      <c r="J180" s="76"/>
    </row>
    <row r="181" spans="1:10" ht="20.100000000000001" customHeight="1" x14ac:dyDescent="0.2">
      <c r="A181" s="649">
        <f t="shared" si="12"/>
        <v>2</v>
      </c>
      <c r="B181" s="110"/>
      <c r="C181" s="74">
        <f t="shared" si="10"/>
        <v>0</v>
      </c>
      <c r="D181" s="108">
        <f t="shared" si="11"/>
        <v>0</v>
      </c>
      <c r="E181" s="652"/>
      <c r="F181" s="153"/>
      <c r="G181" s="152"/>
      <c r="H181" s="650"/>
      <c r="I181" s="500"/>
      <c r="J181" s="76"/>
    </row>
    <row r="182" spans="1:10" ht="20.100000000000001" customHeight="1" x14ac:dyDescent="0.2">
      <c r="A182" s="649">
        <f t="shared" si="12"/>
        <v>2</v>
      </c>
      <c r="B182" s="110"/>
      <c r="C182" s="74">
        <f t="shared" si="10"/>
        <v>0</v>
      </c>
      <c r="D182" s="108">
        <f t="shared" si="11"/>
        <v>0</v>
      </c>
      <c r="E182" s="652"/>
      <c r="F182" s="153"/>
      <c r="G182" s="152"/>
      <c r="H182" s="650"/>
      <c r="I182" s="500"/>
      <c r="J182" s="76"/>
    </row>
    <row r="183" spans="1:10" ht="20.100000000000001" customHeight="1" x14ac:dyDescent="0.2">
      <c r="A183" s="649">
        <f t="shared" si="12"/>
        <v>2</v>
      </c>
      <c r="B183" s="110"/>
      <c r="C183" s="74">
        <f t="shared" si="10"/>
        <v>0</v>
      </c>
      <c r="D183" s="108">
        <f t="shared" si="11"/>
        <v>0</v>
      </c>
      <c r="E183" s="652"/>
      <c r="F183" s="153"/>
      <c r="G183" s="152"/>
      <c r="H183" s="650"/>
      <c r="I183" s="500"/>
      <c r="J183" s="76"/>
    </row>
    <row r="184" spans="1:10" ht="20.100000000000001" customHeight="1" x14ac:dyDescent="0.2">
      <c r="H184" s="104"/>
      <c r="I184" s="500"/>
      <c r="J184" s="76"/>
    </row>
    <row r="185" spans="1:10" ht="20.100000000000001" customHeight="1" x14ac:dyDescent="0.2">
      <c r="H185" s="104"/>
      <c r="I185" s="500"/>
      <c r="J185" s="76"/>
    </row>
    <row r="186" spans="1:10" ht="20.100000000000001" customHeight="1" x14ac:dyDescent="0.2">
      <c r="H186" s="104"/>
      <c r="I186" s="500"/>
      <c r="J186" s="76"/>
    </row>
    <row r="187" spans="1:10" ht="20.100000000000001" customHeight="1" x14ac:dyDescent="0.2">
      <c r="H187" s="104"/>
      <c r="I187" s="500"/>
      <c r="J187" s="76"/>
    </row>
    <row r="188" spans="1:10" ht="20.100000000000001" customHeight="1" x14ac:dyDescent="0.2">
      <c r="H188" s="104"/>
      <c r="I188" s="500"/>
      <c r="J188" s="76"/>
    </row>
    <row r="189" spans="1:10" ht="20.100000000000001" customHeight="1" x14ac:dyDescent="0.2">
      <c r="H189" s="104"/>
      <c r="I189" s="500"/>
      <c r="J189" s="76"/>
    </row>
    <row r="190" spans="1:10" ht="20.100000000000001" customHeight="1" x14ac:dyDescent="0.2">
      <c r="H190" s="104"/>
      <c r="I190" s="500"/>
      <c r="J190" s="76"/>
    </row>
    <row r="191" spans="1:10" ht="20.100000000000001" customHeight="1" x14ac:dyDescent="0.2">
      <c r="H191" s="104"/>
      <c r="I191" s="500"/>
      <c r="J191" s="76"/>
    </row>
    <row r="192" spans="1:10" ht="20.100000000000001" customHeight="1" x14ac:dyDescent="0.2">
      <c r="H192" s="104"/>
      <c r="I192" s="500"/>
      <c r="J192" s="76"/>
    </row>
    <row r="193" spans="8:10" ht="20.100000000000001" customHeight="1" x14ac:dyDescent="0.2">
      <c r="H193" s="104"/>
      <c r="I193" s="500"/>
      <c r="J193" s="76"/>
    </row>
    <row r="194" spans="8:10" ht="20.100000000000001" customHeight="1" x14ac:dyDescent="0.2">
      <c r="H194" s="104"/>
      <c r="I194" s="500"/>
      <c r="J194" s="76"/>
    </row>
    <row r="195" spans="8:10" ht="20.100000000000001" customHeight="1" x14ac:dyDescent="0.2">
      <c r="H195" s="104"/>
      <c r="I195" s="500"/>
      <c r="J195" s="76"/>
    </row>
    <row r="196" spans="8:10" ht="20.100000000000001" customHeight="1" x14ac:dyDescent="0.2">
      <c r="H196" s="104"/>
      <c r="I196" s="500"/>
      <c r="J196" s="76"/>
    </row>
    <row r="197" spans="8:10" ht="20.100000000000001" customHeight="1" x14ac:dyDescent="0.2">
      <c r="H197" s="104"/>
      <c r="I197" s="500"/>
      <c r="J197" s="76"/>
    </row>
    <row r="198" spans="8:10" ht="20.100000000000001" customHeight="1" x14ac:dyDescent="0.2">
      <c r="H198" s="104"/>
      <c r="I198" s="500"/>
      <c r="J198" s="76"/>
    </row>
    <row r="199" spans="8:10" ht="20.100000000000001" customHeight="1" x14ac:dyDescent="0.2">
      <c r="H199" s="104"/>
      <c r="I199" s="500"/>
      <c r="J199" s="76"/>
    </row>
    <row r="200" spans="8:10" ht="20.100000000000001" customHeight="1" x14ac:dyDescent="0.2">
      <c r="H200" s="104"/>
      <c r="I200" s="500"/>
      <c r="J200" s="76"/>
    </row>
    <row r="201" spans="8:10" ht="20.100000000000001" customHeight="1" x14ac:dyDescent="0.2">
      <c r="H201" s="104"/>
      <c r="I201" s="500"/>
      <c r="J201" s="76"/>
    </row>
    <row r="202" spans="8:10" ht="20.100000000000001" customHeight="1" x14ac:dyDescent="0.2">
      <c r="H202" s="104"/>
      <c r="I202" s="500"/>
      <c r="J202" s="76"/>
    </row>
    <row r="203" spans="8:10" ht="20.100000000000001" customHeight="1" x14ac:dyDescent="0.2">
      <c r="H203" s="104"/>
      <c r="I203" s="500"/>
      <c r="J203" s="76"/>
    </row>
    <row r="204" spans="8:10" ht="20.100000000000001" customHeight="1" x14ac:dyDescent="0.2">
      <c r="H204" s="104"/>
      <c r="I204" s="500"/>
      <c r="J204" s="76"/>
    </row>
    <row r="205" spans="8:10" ht="20.100000000000001" customHeight="1" x14ac:dyDescent="0.2">
      <c r="H205" s="104"/>
      <c r="I205" s="500"/>
      <c r="J205" s="76"/>
    </row>
    <row r="206" spans="8:10" ht="20.100000000000001" customHeight="1" x14ac:dyDescent="0.2">
      <c r="H206" s="104"/>
      <c r="I206" s="500"/>
      <c r="J206" s="76"/>
    </row>
    <row r="207" spans="8:10" ht="20.100000000000001" customHeight="1" x14ac:dyDescent="0.2">
      <c r="H207" s="104"/>
      <c r="I207" s="500"/>
      <c r="J207" s="76"/>
    </row>
    <row r="208" spans="8:10" ht="20.100000000000001" customHeight="1" x14ac:dyDescent="0.2">
      <c r="H208" s="104"/>
      <c r="I208" s="500"/>
      <c r="J208" s="76"/>
    </row>
    <row r="209" spans="4:10" ht="20.100000000000001" customHeight="1" x14ac:dyDescent="0.2">
      <c r="H209" s="104"/>
      <c r="I209" s="500"/>
      <c r="J209" s="76"/>
    </row>
    <row r="210" spans="4:10" ht="20.100000000000001" customHeight="1" x14ac:dyDescent="0.2">
      <c r="H210" s="104"/>
      <c r="I210" s="500"/>
      <c r="J210" s="76"/>
    </row>
    <row r="211" spans="4:10" ht="20.100000000000001" customHeight="1" x14ac:dyDescent="0.2">
      <c r="H211" s="104"/>
      <c r="I211" s="500"/>
      <c r="J211" s="76"/>
    </row>
    <row r="212" spans="4:10" ht="20.100000000000001" customHeight="1" x14ac:dyDescent="0.2">
      <c r="H212" s="104"/>
      <c r="I212" s="500"/>
      <c r="J212" s="76"/>
    </row>
    <row r="213" spans="4:10" ht="20.100000000000001" customHeight="1" x14ac:dyDescent="0.2">
      <c r="H213" s="104"/>
      <c r="I213" s="500"/>
      <c r="J213" s="76"/>
    </row>
    <row r="214" spans="4:10" ht="20.100000000000001" customHeight="1" x14ac:dyDescent="0.2">
      <c r="H214" s="104"/>
      <c r="I214" s="500"/>
      <c r="J214" s="76"/>
    </row>
    <row r="215" spans="4:10" ht="20.100000000000001" customHeight="1" x14ac:dyDescent="0.2">
      <c r="D215" s="76"/>
      <c r="E215" s="104"/>
      <c r="I215" s="104"/>
      <c r="J215" s="500"/>
    </row>
    <row r="216" spans="4:10" ht="20.100000000000001" customHeight="1" x14ac:dyDescent="0.2">
      <c r="D216" s="76"/>
      <c r="E216" s="104"/>
      <c r="I216" s="104"/>
      <c r="J216" s="500"/>
    </row>
    <row r="217" spans="4:10" ht="20.100000000000001" customHeight="1" x14ac:dyDescent="0.2">
      <c r="J217" s="500"/>
    </row>
    <row r="218" spans="4:10" ht="20.100000000000001" customHeight="1" x14ac:dyDescent="0.2">
      <c r="J218" s="500"/>
    </row>
    <row r="219" spans="4:10" ht="20.100000000000001" customHeight="1" x14ac:dyDescent="0.2">
      <c r="J219" s="500"/>
    </row>
    <row r="220" spans="4:10" ht="20.100000000000001" customHeight="1" x14ac:dyDescent="0.2">
      <c r="J220" s="500"/>
    </row>
    <row r="221" spans="4:10" ht="20.100000000000001" customHeight="1" x14ac:dyDescent="0.2">
      <c r="J221" s="500"/>
    </row>
    <row r="222" spans="4:10" ht="20.100000000000001" customHeight="1" x14ac:dyDescent="0.2">
      <c r="J222" s="500"/>
    </row>
    <row r="223" spans="4:10" ht="20.100000000000001" customHeight="1" x14ac:dyDescent="0.2">
      <c r="J223" s="500"/>
    </row>
    <row r="224" spans="4:10" ht="20.100000000000001" customHeight="1" x14ac:dyDescent="0.2">
      <c r="J224" s="500"/>
    </row>
    <row r="225" spans="10:10" ht="20.100000000000001" customHeight="1" x14ac:dyDescent="0.2">
      <c r="J225" s="500"/>
    </row>
    <row r="226" spans="10:10" ht="20.100000000000001" customHeight="1" x14ac:dyDescent="0.2">
      <c r="J226" s="500"/>
    </row>
    <row r="227" spans="10:10" ht="20.100000000000001" customHeight="1" x14ac:dyDescent="0.2">
      <c r="J227" s="500"/>
    </row>
    <row r="228" spans="10:10" ht="20.100000000000001" customHeight="1" x14ac:dyDescent="0.2">
      <c r="J228" s="500"/>
    </row>
    <row r="229" spans="10:10" ht="20.100000000000001" customHeight="1" x14ac:dyDescent="0.2">
      <c r="J229" s="500"/>
    </row>
    <row r="230" spans="10:10" ht="20.100000000000001" customHeight="1" x14ac:dyDescent="0.2">
      <c r="J230" s="500"/>
    </row>
    <row r="231" spans="10:10" ht="20.100000000000001" customHeight="1" x14ac:dyDescent="0.2">
      <c r="J231" s="500"/>
    </row>
    <row r="232" spans="10:10" ht="20.100000000000001" customHeight="1" x14ac:dyDescent="0.2">
      <c r="J232" s="500"/>
    </row>
    <row r="233" spans="10:10" ht="20.100000000000001" customHeight="1" x14ac:dyDescent="0.2">
      <c r="J233" s="500"/>
    </row>
    <row r="234" spans="10:10" ht="20.100000000000001" customHeight="1" x14ac:dyDescent="0.2">
      <c r="J234" s="500"/>
    </row>
    <row r="235" spans="10:10" ht="20.100000000000001" customHeight="1" x14ac:dyDescent="0.2">
      <c r="J235" s="500"/>
    </row>
    <row r="236" spans="10:10" ht="20.100000000000001" customHeight="1" x14ac:dyDescent="0.2">
      <c r="J236" s="500"/>
    </row>
    <row r="237" spans="10:10" ht="20.100000000000001" customHeight="1" x14ac:dyDescent="0.2">
      <c r="J237" s="500"/>
    </row>
    <row r="238" spans="10:10" ht="20.100000000000001" customHeight="1" x14ac:dyDescent="0.2">
      <c r="J238" s="500"/>
    </row>
    <row r="239" spans="10:10" ht="20.100000000000001" customHeight="1" x14ac:dyDescent="0.2">
      <c r="J239" s="500"/>
    </row>
    <row r="240" spans="10:10" ht="20.100000000000001" customHeight="1" x14ac:dyDescent="0.2">
      <c r="J240" s="500"/>
    </row>
    <row r="241" spans="10:10" ht="20.100000000000001" customHeight="1" x14ac:dyDescent="0.2">
      <c r="J241" s="500"/>
    </row>
    <row r="242" spans="10:10" ht="20.100000000000001" customHeight="1" x14ac:dyDescent="0.2">
      <c r="J242" s="500"/>
    </row>
    <row r="243" spans="10:10" ht="20.100000000000001" customHeight="1" x14ac:dyDescent="0.2">
      <c r="J243" s="500"/>
    </row>
    <row r="244" spans="10:10" ht="20.100000000000001" customHeight="1" x14ac:dyDescent="0.2">
      <c r="J244" s="500"/>
    </row>
    <row r="245" spans="10:10" ht="20.100000000000001" customHeight="1" x14ac:dyDescent="0.2">
      <c r="J245" s="500"/>
    </row>
    <row r="246" spans="10:10" ht="20.100000000000001" customHeight="1" x14ac:dyDescent="0.2">
      <c r="J246" s="500"/>
    </row>
    <row r="247" spans="10:10" ht="20.100000000000001" customHeight="1" x14ac:dyDescent="0.2">
      <c r="J247" s="500"/>
    </row>
    <row r="248" spans="10:10" ht="20.100000000000001" customHeight="1" x14ac:dyDescent="0.2">
      <c r="J248" s="500"/>
    </row>
    <row r="249" spans="10:10" ht="20.100000000000001" customHeight="1" x14ac:dyDescent="0.2">
      <c r="J249" s="500"/>
    </row>
    <row r="250" spans="10:10" ht="20.100000000000001" customHeight="1" x14ac:dyDescent="0.2">
      <c r="J250" s="500"/>
    </row>
    <row r="251" spans="10:10" ht="20.100000000000001" customHeight="1" x14ac:dyDescent="0.2">
      <c r="J251" s="500"/>
    </row>
    <row r="252" spans="10:10" ht="20.100000000000001" customHeight="1" x14ac:dyDescent="0.2">
      <c r="J252" s="500"/>
    </row>
    <row r="253" spans="10:10" ht="20.100000000000001" customHeight="1" x14ac:dyDescent="0.2">
      <c r="J253" s="500"/>
    </row>
    <row r="254" spans="10:10" ht="20.100000000000001" customHeight="1" x14ac:dyDescent="0.2">
      <c r="J254" s="500"/>
    </row>
    <row r="255" spans="10:10" ht="20.100000000000001" customHeight="1" x14ac:dyDescent="0.2">
      <c r="J255" s="500"/>
    </row>
    <row r="256" spans="10:10" ht="20.100000000000001" customHeight="1" x14ac:dyDescent="0.2">
      <c r="J256" s="500"/>
    </row>
    <row r="257" spans="3:10" ht="20.100000000000001" customHeight="1" x14ac:dyDescent="0.2">
      <c r="J257" s="500"/>
    </row>
    <row r="258" spans="3:10" ht="20.100000000000001" customHeight="1" x14ac:dyDescent="0.2">
      <c r="J258" s="500"/>
    </row>
    <row r="259" spans="3:10" ht="20.100000000000001" customHeight="1" x14ac:dyDescent="0.2">
      <c r="J259" s="500"/>
    </row>
    <row r="260" spans="3:10" ht="20.100000000000001" customHeight="1" x14ac:dyDescent="0.2">
      <c r="J260" s="500"/>
    </row>
    <row r="261" spans="3:10" ht="20.100000000000001" customHeight="1" x14ac:dyDescent="0.2">
      <c r="J261" s="500"/>
    </row>
    <row r="262" spans="3:10" ht="20.100000000000001" customHeight="1" x14ac:dyDescent="0.2">
      <c r="C262" s="76">
        <v>5</v>
      </c>
      <c r="J262" s="500"/>
    </row>
    <row r="263" spans="3:10" ht="20.100000000000001" customHeight="1" x14ac:dyDescent="0.2">
      <c r="J263" s="500"/>
    </row>
    <row r="264" spans="3:10" ht="20.100000000000001" customHeight="1" x14ac:dyDescent="0.2">
      <c r="J264" s="500"/>
    </row>
    <row r="265" spans="3:10" ht="20.100000000000001" customHeight="1" x14ac:dyDescent="0.2">
      <c r="J265" s="500"/>
    </row>
    <row r="266" spans="3:10" ht="20.100000000000001" customHeight="1" x14ac:dyDescent="0.2">
      <c r="J266" s="500"/>
    </row>
    <row r="267" spans="3:10" ht="20.100000000000001" customHeight="1" x14ac:dyDescent="0.2">
      <c r="J267" s="500"/>
    </row>
    <row r="268" spans="3:10" ht="20.100000000000001" customHeight="1" x14ac:dyDescent="0.2">
      <c r="J268" s="500"/>
    </row>
    <row r="269" spans="3:10" ht="20.100000000000001" customHeight="1" x14ac:dyDescent="0.2">
      <c r="J269" s="500"/>
    </row>
    <row r="270" spans="3:10" ht="20.100000000000001" customHeight="1" x14ac:dyDescent="0.2">
      <c r="J270" s="500"/>
    </row>
    <row r="271" spans="3:10" ht="20.100000000000001" customHeight="1" x14ac:dyDescent="0.2">
      <c r="J271" s="500"/>
    </row>
    <row r="272" spans="3:10" ht="20.100000000000001" customHeight="1" x14ac:dyDescent="0.2">
      <c r="J272" s="500"/>
    </row>
    <row r="273" spans="10:10" ht="20.100000000000001" customHeight="1" x14ac:dyDescent="0.2">
      <c r="J273" s="500"/>
    </row>
    <row r="274" spans="10:10" ht="20.100000000000001" customHeight="1" x14ac:dyDescent="0.2">
      <c r="J274" s="500"/>
    </row>
    <row r="275" spans="10:10" ht="20.100000000000001" customHeight="1" x14ac:dyDescent="0.2">
      <c r="J275" s="500"/>
    </row>
    <row r="276" spans="10:10" ht="20.100000000000001" customHeight="1" x14ac:dyDescent="0.2">
      <c r="J276" s="500"/>
    </row>
    <row r="277" spans="10:10" ht="20.100000000000001" customHeight="1" x14ac:dyDescent="0.2">
      <c r="J277" s="500"/>
    </row>
    <row r="278" spans="10:10" ht="20.100000000000001" customHeight="1" x14ac:dyDescent="0.2">
      <c r="J278" s="500"/>
    </row>
    <row r="279" spans="10:10" ht="20.100000000000001" customHeight="1" x14ac:dyDescent="0.2">
      <c r="J279" s="500"/>
    </row>
    <row r="280" spans="10:10" ht="20.100000000000001" customHeight="1" x14ac:dyDescent="0.2">
      <c r="J280" s="500"/>
    </row>
    <row r="281" spans="10:10" ht="20.100000000000001" customHeight="1" x14ac:dyDescent="0.2">
      <c r="J281" s="500"/>
    </row>
    <row r="282" spans="10:10" ht="20.100000000000001" customHeight="1" x14ac:dyDescent="0.2">
      <c r="J282" s="500"/>
    </row>
    <row r="283" spans="10:10" ht="20.100000000000001" customHeight="1" x14ac:dyDescent="0.2">
      <c r="J283" s="500"/>
    </row>
    <row r="284" spans="10:10" ht="20.100000000000001" customHeight="1" x14ac:dyDescent="0.2">
      <c r="J284" s="500"/>
    </row>
    <row r="285" spans="10:10" ht="20.100000000000001" customHeight="1" x14ac:dyDescent="0.2">
      <c r="J285" s="500"/>
    </row>
    <row r="286" spans="10:10" ht="20.100000000000001" customHeight="1" x14ac:dyDescent="0.2">
      <c r="J286" s="500"/>
    </row>
    <row r="287" spans="10:10" ht="20.100000000000001" customHeight="1" x14ac:dyDescent="0.2">
      <c r="J287" s="500"/>
    </row>
    <row r="288" spans="10:10" ht="20.100000000000001" customHeight="1" x14ac:dyDescent="0.2">
      <c r="J288" s="500"/>
    </row>
    <row r="289" spans="10:10" ht="20.100000000000001" customHeight="1" x14ac:dyDescent="0.2">
      <c r="J289" s="500"/>
    </row>
    <row r="290" spans="10:10" ht="20.100000000000001" customHeight="1" x14ac:dyDescent="0.2">
      <c r="J290" s="500"/>
    </row>
    <row r="291" spans="10:10" ht="20.100000000000001" customHeight="1" x14ac:dyDescent="0.2">
      <c r="J291" s="500"/>
    </row>
    <row r="292" spans="10:10" ht="20.100000000000001" customHeight="1" x14ac:dyDescent="0.2">
      <c r="J292" s="500"/>
    </row>
    <row r="293" spans="10:10" ht="20.100000000000001" customHeight="1" x14ac:dyDescent="0.2">
      <c r="J293" s="500"/>
    </row>
    <row r="294" spans="10:10" ht="20.100000000000001" customHeight="1" x14ac:dyDescent="0.2">
      <c r="J294" s="500"/>
    </row>
    <row r="295" spans="10:10" ht="20.100000000000001" customHeight="1" x14ac:dyDescent="0.2">
      <c r="J295" s="500"/>
    </row>
    <row r="296" spans="10:10" ht="20.100000000000001" customHeight="1" x14ac:dyDescent="0.2">
      <c r="J296" s="500"/>
    </row>
    <row r="297" spans="10:10" ht="20.100000000000001" customHeight="1" x14ac:dyDescent="0.2">
      <c r="J297" s="500"/>
    </row>
    <row r="298" spans="10:10" ht="20.100000000000001" customHeight="1" x14ac:dyDescent="0.2">
      <c r="J298" s="500"/>
    </row>
    <row r="299" spans="10:10" ht="20.100000000000001" customHeight="1" x14ac:dyDescent="0.2">
      <c r="J299" s="500"/>
    </row>
    <row r="300" spans="10:10" ht="20.100000000000001" customHeight="1" x14ac:dyDescent="0.2">
      <c r="J300" s="500"/>
    </row>
    <row r="301" spans="10:10" ht="20.100000000000001" customHeight="1" x14ac:dyDescent="0.2">
      <c r="J301" s="500"/>
    </row>
    <row r="302" spans="10:10" ht="20.100000000000001" customHeight="1" x14ac:dyDescent="0.2">
      <c r="J302" s="500"/>
    </row>
    <row r="303" spans="10:10" ht="20.100000000000001" customHeight="1" x14ac:dyDescent="0.2">
      <c r="J303" s="500"/>
    </row>
    <row r="304" spans="10:10" ht="20.100000000000001" customHeight="1" x14ac:dyDescent="0.2">
      <c r="J304" s="500"/>
    </row>
    <row r="305" spans="3:10" ht="20.100000000000001" customHeight="1" x14ac:dyDescent="0.2">
      <c r="J305" s="500"/>
    </row>
    <row r="306" spans="3:10" ht="20.100000000000001" customHeight="1" x14ac:dyDescent="0.2">
      <c r="J306" s="500"/>
    </row>
    <row r="307" spans="3:10" ht="20.100000000000001" customHeight="1" x14ac:dyDescent="0.2">
      <c r="J307" s="500"/>
    </row>
    <row r="308" spans="3:10" ht="20.100000000000001" customHeight="1" x14ac:dyDescent="0.2">
      <c r="J308" s="500"/>
    </row>
    <row r="309" spans="3:10" ht="20.100000000000001" customHeight="1" x14ac:dyDescent="0.2">
      <c r="J309" s="500"/>
    </row>
    <row r="310" spans="3:10" ht="20.100000000000001" customHeight="1" x14ac:dyDescent="0.2">
      <c r="J310" s="500"/>
    </row>
    <row r="311" spans="3:10" ht="20.100000000000001" customHeight="1" x14ac:dyDescent="0.2">
      <c r="J311" s="500"/>
    </row>
    <row r="312" spans="3:10" ht="20.100000000000001" customHeight="1" x14ac:dyDescent="0.2">
      <c r="C312" s="76">
        <v>5</v>
      </c>
    </row>
    <row r="362" spans="3:3" ht="20.100000000000001" customHeight="1" x14ac:dyDescent="0.2">
      <c r="C362" s="76">
        <v>5</v>
      </c>
    </row>
    <row r="412" spans="3:3" ht="20.100000000000001" customHeight="1" x14ac:dyDescent="0.2">
      <c r="C412" s="76">
        <v>5</v>
      </c>
    </row>
    <row r="462" spans="3:3" ht="20.100000000000001" customHeight="1" x14ac:dyDescent="0.2">
      <c r="C462" s="76">
        <v>5</v>
      </c>
    </row>
    <row r="512" spans="3:3" ht="20.100000000000001" customHeight="1" x14ac:dyDescent="0.2">
      <c r="C512" s="76">
        <v>5</v>
      </c>
    </row>
    <row r="562" spans="3:3" ht="20.100000000000001" customHeight="1" x14ac:dyDescent="0.2">
      <c r="C562" s="76">
        <v>5</v>
      </c>
    </row>
    <row r="612" spans="3:3" ht="20.100000000000001" customHeight="1" x14ac:dyDescent="0.2">
      <c r="C612" s="76">
        <v>5</v>
      </c>
    </row>
    <row r="662" spans="3:3" ht="20.100000000000001" customHeight="1" x14ac:dyDescent="0.2">
      <c r="C662" s="76">
        <v>5</v>
      </c>
    </row>
    <row r="712" spans="3:3" ht="20.100000000000001" customHeight="1" x14ac:dyDescent="0.2">
      <c r="C712" s="76">
        <v>5</v>
      </c>
    </row>
    <row r="762" spans="3:3" ht="20.100000000000001" customHeight="1" x14ac:dyDescent="0.2">
      <c r="C762" s="76">
        <v>5</v>
      </c>
    </row>
    <row r="812" spans="3:3" ht="20.100000000000001" customHeight="1" x14ac:dyDescent="0.2">
      <c r="C812" s="76">
        <v>5</v>
      </c>
    </row>
    <row r="813" spans="3:3" ht="20.100000000000001" customHeight="1" x14ac:dyDescent="0.2">
      <c r="C813" s="76" t="e">
        <f>Datos!#REF!</f>
        <v>#REF!</v>
      </c>
    </row>
    <row r="862" spans="3:3" ht="20.100000000000001" customHeight="1" x14ac:dyDescent="0.2">
      <c r="C862" s="76">
        <v>5</v>
      </c>
    </row>
    <row r="863" spans="3:3" ht="20.100000000000001" customHeight="1" x14ac:dyDescent="0.2">
      <c r="C863" s="76" t="e">
        <f>Datos!#REF!</f>
        <v>#REF!</v>
      </c>
    </row>
    <row r="912" spans="3:3" ht="20.100000000000001" customHeight="1" x14ac:dyDescent="0.2">
      <c r="C912" s="76">
        <v>5</v>
      </c>
    </row>
    <row r="913" spans="3:3" ht="20.100000000000001" customHeight="1" x14ac:dyDescent="0.2">
      <c r="C913" s="76" t="e">
        <f>Datos!#REF!</f>
        <v>#REF!</v>
      </c>
    </row>
    <row r="962" spans="3:3" ht="20.100000000000001" customHeight="1" x14ac:dyDescent="0.2">
      <c r="C962" s="76">
        <v>5</v>
      </c>
    </row>
    <row r="963" spans="3:3" ht="20.100000000000001" customHeight="1" x14ac:dyDescent="0.2">
      <c r="C963" s="76" t="e">
        <f>Datos!#REF!</f>
        <v>#REF!</v>
      </c>
    </row>
    <row r="1013" spans="3:3" ht="20.100000000000001" customHeight="1" x14ac:dyDescent="0.2">
      <c r="C1013" s="76" t="e">
        <f>Datos!#REF!</f>
        <v>#REF!</v>
      </c>
    </row>
    <row r="1062" spans="3:3" ht="20.100000000000001" customHeight="1" x14ac:dyDescent="0.2">
      <c r="C1062" s="76">
        <v>7</v>
      </c>
    </row>
    <row r="1063" spans="3:3" ht="20.100000000000001" customHeight="1" x14ac:dyDescent="0.2">
      <c r="C1063" s="76" t="e">
        <f>Datos!#REF!</f>
        <v>#REF!</v>
      </c>
    </row>
    <row r="1113" spans="3:3" ht="20.100000000000001" customHeight="1" x14ac:dyDescent="0.2">
      <c r="C1113" s="76" t="e">
        <f>Datos!#REF!</f>
        <v>#REF!</v>
      </c>
    </row>
    <row r="1162" spans="3:3" ht="20.100000000000001" customHeight="1" x14ac:dyDescent="0.2">
      <c r="C1162" s="76">
        <v>8</v>
      </c>
    </row>
    <row r="1163" spans="3:3" ht="20.100000000000001" customHeight="1" x14ac:dyDescent="0.2">
      <c r="C1163" s="76" t="e">
        <f>Datos!#REF!</f>
        <v>#REF!</v>
      </c>
    </row>
    <row r="1212" spans="3:3" ht="20.100000000000001" customHeight="1" x14ac:dyDescent="0.2">
      <c r="C1212" s="76">
        <v>8</v>
      </c>
    </row>
    <row r="1213" spans="3:3" ht="20.100000000000001" customHeight="1" x14ac:dyDescent="0.2">
      <c r="C1213" s="76" t="e">
        <f>Datos!#REF!</f>
        <v>#REF!</v>
      </c>
    </row>
    <row r="1262" spans="3:3" ht="20.100000000000001" customHeight="1" x14ac:dyDescent="0.2">
      <c r="C1262" s="76">
        <v>8</v>
      </c>
    </row>
    <row r="1263" spans="3:3" ht="20.100000000000001" customHeight="1" x14ac:dyDescent="0.2">
      <c r="C1263" s="76" t="e">
        <f>Datos!#REF!</f>
        <v>#REF!</v>
      </c>
    </row>
    <row r="1312" spans="3:3" ht="20.100000000000001" customHeight="1" x14ac:dyDescent="0.2">
      <c r="C1312" s="76">
        <v>8</v>
      </c>
    </row>
    <row r="1313" spans="3:3" ht="20.100000000000001" customHeight="1" x14ac:dyDescent="0.2">
      <c r="C1313" s="76" t="e">
        <f>Datos!#REF!</f>
        <v>#REF!</v>
      </c>
    </row>
    <row r="1362" spans="3:3" ht="20.100000000000001" customHeight="1" x14ac:dyDescent="0.2">
      <c r="C1362" s="76">
        <v>8</v>
      </c>
    </row>
    <row r="1363" spans="3:3" ht="20.100000000000001" customHeight="1" x14ac:dyDescent="0.2">
      <c r="C1363" s="76" t="e">
        <f>Datos!#REF!</f>
        <v>#REF!</v>
      </c>
    </row>
    <row r="1413" spans="3:3" ht="20.100000000000001" customHeight="1" x14ac:dyDescent="0.2">
      <c r="C1413" s="76" t="e">
        <f>Datos!#REF!</f>
        <v>#REF!</v>
      </c>
    </row>
    <row r="1463" spans="3:3" ht="20.100000000000001" customHeight="1" x14ac:dyDescent="0.2">
      <c r="C1463" s="76" t="e">
        <f>Datos!#REF!</f>
        <v>#REF!</v>
      </c>
    </row>
    <row r="1513" spans="3:3" ht="20.100000000000001" customHeight="1" x14ac:dyDescent="0.2">
      <c r="C1513" s="76" t="e">
        <f>Datos!#REF!</f>
        <v>#REF!</v>
      </c>
    </row>
    <row r="1562" spans="3:3" ht="20.100000000000001" customHeight="1" x14ac:dyDescent="0.2">
      <c r="C1562" s="76">
        <v>12</v>
      </c>
    </row>
    <row r="1563" spans="3:3" ht="20.100000000000001" customHeight="1" x14ac:dyDescent="0.2">
      <c r="C1563" s="76" t="e">
        <f>Datos!#REF!</f>
        <v>#REF!</v>
      </c>
    </row>
    <row r="1612" spans="3:3" ht="20.100000000000001" customHeight="1" x14ac:dyDescent="0.2">
      <c r="C1612" s="76">
        <v>12</v>
      </c>
    </row>
    <row r="1613" spans="3:3" ht="20.100000000000001" customHeight="1" x14ac:dyDescent="0.2">
      <c r="C1613" s="76" t="e">
        <f>Datos!#REF!</f>
        <v>#REF!</v>
      </c>
    </row>
    <row r="1662" spans="3:3" ht="20.100000000000001" customHeight="1" x14ac:dyDescent="0.2">
      <c r="C1662" s="76">
        <v>12</v>
      </c>
    </row>
    <row r="1663" spans="3:3" ht="20.100000000000001" customHeight="1" x14ac:dyDescent="0.2">
      <c r="C1663" s="76" t="e">
        <f>Datos!#REF!</f>
        <v>#REF!</v>
      </c>
    </row>
    <row r="1712" spans="3:3" ht="20.100000000000001" customHeight="1" x14ac:dyDescent="0.2">
      <c r="C1712" s="76">
        <v>12</v>
      </c>
    </row>
    <row r="1713" spans="3:3" ht="20.100000000000001" customHeight="1" x14ac:dyDescent="0.2">
      <c r="C1713" s="76" t="e">
        <f>Datos!#REF!</f>
        <v>#REF!</v>
      </c>
    </row>
    <row r="1762" spans="3:3" ht="20.100000000000001" customHeight="1" x14ac:dyDescent="0.2">
      <c r="C1762" s="76">
        <v>12</v>
      </c>
    </row>
    <row r="1763" spans="3:3" ht="20.100000000000001" customHeight="1" x14ac:dyDescent="0.2">
      <c r="C1763" s="76" t="e">
        <f>Datos!#REF!</f>
        <v>#REF!</v>
      </c>
    </row>
    <row r="1812" spans="3:3" ht="20.100000000000001" customHeight="1" x14ac:dyDescent="0.2">
      <c r="C1812" s="76">
        <v>13</v>
      </c>
    </row>
    <row r="1813" spans="3:3" ht="20.100000000000001" customHeight="1" x14ac:dyDescent="0.2">
      <c r="C1813" s="76" t="e">
        <f>Datos!#REF!</f>
        <v>#REF!</v>
      </c>
    </row>
    <row r="1862" spans="3:3" ht="20.100000000000001" customHeight="1" x14ac:dyDescent="0.2">
      <c r="C1862" s="76">
        <v>13</v>
      </c>
    </row>
    <row r="1863" spans="3:3" ht="20.100000000000001" customHeight="1" x14ac:dyDescent="0.2">
      <c r="C1863" s="76" t="e">
        <f>Datos!#REF!</f>
        <v>#REF!</v>
      </c>
    </row>
  </sheetData>
  <mergeCells count="4">
    <mergeCell ref="G31:H31"/>
    <mergeCell ref="A1:D1"/>
    <mergeCell ref="A16:E16"/>
    <mergeCell ref="B30:E30"/>
  </mergeCells>
  <conditionalFormatting sqref="D24:D27">
    <cfRule type="expression" dxfId="146" priority="4" stopIfTrue="1">
      <formula>#REF!=1</formula>
    </cfRule>
  </conditionalFormatting>
  <conditionalFormatting sqref="B34:B183">
    <cfRule type="expression" dxfId="145" priority="5" stopIfTrue="1">
      <formula>#REF!&gt;0</formula>
    </cfRule>
    <cfRule type="expression" dxfId="144" priority="6" stopIfTrue="1">
      <formula>#REF!&gt;0</formula>
    </cfRule>
    <cfRule type="expression" dxfId="143" priority="7" stopIfTrue="1">
      <formula>#REF!&gt;0</formula>
    </cfRule>
  </conditionalFormatting>
  <conditionalFormatting sqref="D24:D27">
    <cfRule type="expression" dxfId="142" priority="8" stopIfTrue="1">
      <formula>#REF!=1</formula>
    </cfRule>
  </conditionalFormatting>
  <conditionalFormatting sqref="C34:C183">
    <cfRule type="expression" dxfId="141" priority="1" stopIfTrue="1">
      <formula>#REF!&gt;0</formula>
    </cfRule>
    <cfRule type="expression" dxfId="140" priority="2" stopIfTrue="1">
      <formula>#REF!&gt;0</formula>
    </cfRule>
    <cfRule type="expression" dxfId="139"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58"/>
    <col min="2" max="2" width="23" style="358" bestFit="1" customWidth="1"/>
    <col min="3" max="3" width="61.7109375" style="358" customWidth="1"/>
    <col min="4" max="4" width="17.28515625" style="358" bestFit="1" customWidth="1"/>
    <col min="5" max="16384" width="11.42578125" style="43"/>
  </cols>
  <sheetData>
    <row r="1" spans="1:19" x14ac:dyDescent="0.2">
      <c r="A1" s="175"/>
      <c r="B1" s="176" t="s">
        <v>1016</v>
      </c>
      <c r="C1" s="177" t="s">
        <v>1017</v>
      </c>
      <c r="D1" s="178"/>
      <c r="G1" s="179"/>
      <c r="H1" s="180" t="s">
        <v>1016</v>
      </c>
      <c r="I1" s="181" t="s">
        <v>1017</v>
      </c>
      <c r="J1" s="179"/>
      <c r="K1" s="179"/>
      <c r="L1" s="179"/>
      <c r="M1" s="179"/>
      <c r="N1" s="179"/>
      <c r="O1" s="182"/>
      <c r="P1" s="179"/>
      <c r="Q1" s="179"/>
      <c r="R1" s="179"/>
      <c r="S1" s="179"/>
    </row>
    <row r="2" spans="1:19" ht="15.75" thickBot="1" x14ac:dyDescent="0.25">
      <c r="A2" s="175"/>
      <c r="B2" s="176"/>
      <c r="C2" s="177"/>
      <c r="D2" s="178"/>
      <c r="G2" s="179"/>
      <c r="H2" s="183"/>
      <c r="I2" s="184"/>
      <c r="J2" s="179"/>
      <c r="K2" s="179"/>
      <c r="L2" s="179"/>
      <c r="M2" s="179"/>
      <c r="N2" s="179"/>
      <c r="O2" s="182"/>
      <c r="P2" s="179"/>
      <c r="Q2" s="179"/>
      <c r="R2" s="179"/>
      <c r="S2" s="179"/>
    </row>
    <row r="3" spans="1:19" x14ac:dyDescent="0.2">
      <c r="A3" s="185">
        <v>1</v>
      </c>
      <c r="B3" s="186" t="s">
        <v>1018</v>
      </c>
      <c r="C3" s="187" t="s">
        <v>1019</v>
      </c>
      <c r="D3" s="178"/>
      <c r="G3" s="179"/>
      <c r="H3" s="188">
        <v>1</v>
      </c>
      <c r="I3" s="189"/>
      <c r="J3" s="190"/>
      <c r="K3" s="191" t="s">
        <v>1019</v>
      </c>
      <c r="L3" s="192"/>
      <c r="M3" s="192"/>
      <c r="N3" s="192"/>
      <c r="O3" s="193"/>
      <c r="P3" s="179"/>
      <c r="Q3" s="194">
        <f>H3</f>
        <v>1</v>
      </c>
      <c r="R3" s="184" t="str">
        <f>CONCATENATE("II-",TEXT(Q3,"0000"))</f>
        <v>II-0001</v>
      </c>
      <c r="S3" s="195" t="str">
        <f>K3</f>
        <v xml:space="preserve"> ACERO EN BARRA COLOCADO</v>
      </c>
    </row>
    <row r="4" spans="1:19" x14ac:dyDescent="0.2">
      <c r="A4" s="185"/>
      <c r="B4" s="186"/>
      <c r="C4" s="187"/>
      <c r="D4" s="178"/>
      <c r="G4" s="179"/>
      <c r="H4" s="196"/>
      <c r="I4" s="197" t="s">
        <v>1020</v>
      </c>
      <c r="J4" s="198"/>
      <c r="K4" s="199" t="s">
        <v>1021</v>
      </c>
      <c r="L4" s="200"/>
      <c r="M4" s="200"/>
      <c r="N4" s="200"/>
      <c r="O4" s="201"/>
      <c r="P4" s="179"/>
      <c r="Q4" s="179"/>
      <c r="R4" s="179"/>
      <c r="S4" s="179"/>
    </row>
    <row r="5" spans="1:19" x14ac:dyDescent="0.2">
      <c r="A5" s="185">
        <v>1</v>
      </c>
      <c r="B5" s="186" t="s">
        <v>1022</v>
      </c>
      <c r="C5" s="187" t="s">
        <v>1023</v>
      </c>
      <c r="D5" s="202" t="s">
        <v>1024</v>
      </c>
      <c r="G5" s="179"/>
      <c r="H5" s="196"/>
      <c r="I5" s="203"/>
      <c r="J5" s="204">
        <v>1</v>
      </c>
      <c r="K5" s="205"/>
      <c r="L5" s="206" t="s">
        <v>1025</v>
      </c>
      <c r="M5" s="205"/>
      <c r="N5" s="205"/>
      <c r="O5" s="207" t="s">
        <v>1024</v>
      </c>
      <c r="P5" s="179"/>
      <c r="Q5" s="194">
        <v>1</v>
      </c>
      <c r="R5" s="186" t="str">
        <f>CONCATENATE($R$3,".",TEXT(Q5,"0000"))</f>
        <v>II-0001.0001</v>
      </c>
      <c r="S5" s="179" t="str">
        <f t="shared" ref="S5:S12" si="0">CONCATENATE($E$4," ",L5)</f>
        <v xml:space="preserve"> Ø4</v>
      </c>
    </row>
    <row r="6" spans="1:19" x14ac:dyDescent="0.2">
      <c r="A6" s="185">
        <v>2</v>
      </c>
      <c r="B6" s="178" t="s">
        <v>1026</v>
      </c>
      <c r="C6" s="187" t="s">
        <v>1027</v>
      </c>
      <c r="D6" s="202" t="s">
        <v>1024</v>
      </c>
      <c r="G6" s="179"/>
      <c r="H6" s="196"/>
      <c r="I6" s="203"/>
      <c r="J6" s="204">
        <v>2</v>
      </c>
      <c r="K6" s="205"/>
      <c r="L6" s="206" t="s">
        <v>1028</v>
      </c>
      <c r="M6" s="205"/>
      <c r="N6" s="205"/>
      <c r="O6" s="207" t="s">
        <v>1024</v>
      </c>
      <c r="P6" s="179"/>
      <c r="Q6" s="194">
        <v>2</v>
      </c>
      <c r="R6" s="186" t="str">
        <f t="shared" ref="R6:R30" si="1">CONCATENATE($R$3,".",TEXT(Q6,"0000"))</f>
        <v>II-0001.0002</v>
      </c>
      <c r="S6" s="179" t="str">
        <f t="shared" si="0"/>
        <v xml:space="preserve"> Ø6</v>
      </c>
    </row>
    <row r="7" spans="1:19" x14ac:dyDescent="0.2">
      <c r="A7" s="185">
        <v>3</v>
      </c>
      <c r="B7" s="178" t="s">
        <v>1029</v>
      </c>
      <c r="C7" s="187" t="s">
        <v>1030</v>
      </c>
      <c r="D7" s="202" t="s">
        <v>1024</v>
      </c>
      <c r="G7" s="179"/>
      <c r="H7" s="196"/>
      <c r="I7" s="203"/>
      <c r="J7" s="204">
        <v>3</v>
      </c>
      <c r="K7" s="205"/>
      <c r="L7" s="206" t="s">
        <v>1031</v>
      </c>
      <c r="M7" s="205"/>
      <c r="N7" s="205"/>
      <c r="O7" s="207" t="s">
        <v>1024</v>
      </c>
      <c r="P7" s="179"/>
      <c r="Q7" s="194">
        <v>3</v>
      </c>
      <c r="R7" s="186" t="str">
        <f t="shared" si="1"/>
        <v>II-0001.0003</v>
      </c>
      <c r="S7" s="179" t="str">
        <f t="shared" si="0"/>
        <v xml:space="preserve"> Ø8</v>
      </c>
    </row>
    <row r="8" spans="1:19" x14ac:dyDescent="0.2">
      <c r="A8" s="185">
        <v>4</v>
      </c>
      <c r="B8" s="208" t="s">
        <v>1032</v>
      </c>
      <c r="C8" s="209" t="s">
        <v>1033</v>
      </c>
      <c r="D8" s="202" t="s">
        <v>1024</v>
      </c>
      <c r="G8" s="179"/>
      <c r="H8" s="196"/>
      <c r="I8" s="203"/>
      <c r="J8" s="204">
        <v>4</v>
      </c>
      <c r="K8" s="205"/>
      <c r="L8" s="206" t="s">
        <v>1034</v>
      </c>
      <c r="M8" s="205"/>
      <c r="N8" s="205"/>
      <c r="O8" s="207" t="s">
        <v>1024</v>
      </c>
      <c r="P8" s="179"/>
      <c r="Q8" s="194">
        <v>4</v>
      </c>
      <c r="R8" s="186" t="str">
        <f t="shared" si="1"/>
        <v>II-0001.0004</v>
      </c>
      <c r="S8" s="179" t="str">
        <f t="shared" si="0"/>
        <v xml:space="preserve"> Ø10</v>
      </c>
    </row>
    <row r="9" spans="1:19" x14ac:dyDescent="0.2">
      <c r="A9" s="185">
        <v>5</v>
      </c>
      <c r="B9" s="186" t="s">
        <v>1035</v>
      </c>
      <c r="C9" s="187" t="s">
        <v>1036</v>
      </c>
      <c r="D9" s="202" t="s">
        <v>1024</v>
      </c>
      <c r="G9" s="179"/>
      <c r="H9" s="196"/>
      <c r="I9" s="203"/>
      <c r="J9" s="204">
        <v>5</v>
      </c>
      <c r="K9" s="205"/>
      <c r="L9" s="206" t="s">
        <v>1037</v>
      </c>
      <c r="M9" s="205"/>
      <c r="N9" s="205"/>
      <c r="O9" s="207" t="s">
        <v>1024</v>
      </c>
      <c r="P9" s="179"/>
      <c r="Q9" s="194">
        <v>5</v>
      </c>
      <c r="R9" s="186" t="str">
        <f t="shared" si="1"/>
        <v>II-0001.0005</v>
      </c>
      <c r="S9" s="179" t="str">
        <f t="shared" si="0"/>
        <v xml:space="preserve"> Ø12</v>
      </c>
    </row>
    <row r="10" spans="1:19" x14ac:dyDescent="0.2">
      <c r="A10" s="185">
        <v>6</v>
      </c>
      <c r="B10" s="186" t="s">
        <v>1038</v>
      </c>
      <c r="C10" s="187" t="s">
        <v>1039</v>
      </c>
      <c r="D10" s="202" t="s">
        <v>1024</v>
      </c>
      <c r="G10" s="179"/>
      <c r="H10" s="196"/>
      <c r="I10" s="203"/>
      <c r="J10" s="204">
        <v>6</v>
      </c>
      <c r="K10" s="205"/>
      <c r="L10" s="206" t="s">
        <v>1040</v>
      </c>
      <c r="M10" s="205"/>
      <c r="N10" s="205"/>
      <c r="O10" s="207" t="s">
        <v>1024</v>
      </c>
      <c r="P10" s="179"/>
      <c r="Q10" s="194">
        <v>6</v>
      </c>
      <c r="R10" s="186" t="str">
        <f t="shared" si="1"/>
        <v>II-0001.0006</v>
      </c>
      <c r="S10" s="179" t="str">
        <f t="shared" si="0"/>
        <v xml:space="preserve"> Ø16</v>
      </c>
    </row>
    <row r="11" spans="1:19" x14ac:dyDescent="0.2">
      <c r="A11" s="185">
        <v>7</v>
      </c>
      <c r="B11" s="186" t="s">
        <v>1041</v>
      </c>
      <c r="C11" s="187" t="s">
        <v>1042</v>
      </c>
      <c r="D11" s="202" t="s">
        <v>1024</v>
      </c>
      <c r="G11" s="179"/>
      <c r="H11" s="196"/>
      <c r="I11" s="203"/>
      <c r="J11" s="204">
        <v>7</v>
      </c>
      <c r="K11" s="205"/>
      <c r="L11" s="206" t="s">
        <v>1043</v>
      </c>
      <c r="M11" s="205"/>
      <c r="N11" s="205"/>
      <c r="O11" s="207" t="s">
        <v>1024</v>
      </c>
      <c r="P11" s="179"/>
      <c r="Q11" s="194">
        <v>7</v>
      </c>
      <c r="R11" s="186" t="str">
        <f t="shared" si="1"/>
        <v>II-0001.0007</v>
      </c>
      <c r="S11" s="179" t="str">
        <f t="shared" si="0"/>
        <v xml:space="preserve"> Ø18</v>
      </c>
    </row>
    <row r="12" spans="1:19" x14ac:dyDescent="0.2">
      <c r="A12" s="185">
        <v>8</v>
      </c>
      <c r="B12" s="178" t="s">
        <v>1044</v>
      </c>
      <c r="C12" s="187" t="s">
        <v>1045</v>
      </c>
      <c r="D12" s="202" t="s">
        <v>1024</v>
      </c>
      <c r="G12" s="179"/>
      <c r="H12" s="196"/>
      <c r="I12" s="203"/>
      <c r="J12" s="210">
        <v>8</v>
      </c>
      <c r="K12" s="211"/>
      <c r="L12" s="212" t="s">
        <v>1046</v>
      </c>
      <c r="M12" s="211"/>
      <c r="N12" s="211"/>
      <c r="O12" s="213" t="s">
        <v>1024</v>
      </c>
      <c r="P12" s="179"/>
      <c r="Q12" s="194">
        <v>8</v>
      </c>
      <c r="R12" s="186" t="str">
        <f t="shared" si="1"/>
        <v>II-0001.0008</v>
      </c>
      <c r="S12" s="179" t="str">
        <f t="shared" si="0"/>
        <v xml:space="preserve"> Ø20</v>
      </c>
    </row>
    <row r="13" spans="1:19" x14ac:dyDescent="0.2">
      <c r="A13" s="185"/>
      <c r="B13" s="178"/>
      <c r="C13" s="187"/>
      <c r="D13" s="202"/>
      <c r="G13" s="179"/>
      <c r="H13" s="196"/>
      <c r="I13" s="197" t="s">
        <v>1047</v>
      </c>
      <c r="J13" s="203"/>
      <c r="K13" s="214" t="s">
        <v>1048</v>
      </c>
      <c r="L13" s="200"/>
      <c r="M13" s="200"/>
      <c r="N13" s="200"/>
      <c r="O13" s="201"/>
      <c r="P13" s="179"/>
      <c r="Q13" s="179"/>
      <c r="R13" s="179"/>
      <c r="S13" s="179"/>
    </row>
    <row r="14" spans="1:19" x14ac:dyDescent="0.2">
      <c r="A14" s="185">
        <v>20</v>
      </c>
      <c r="B14" s="208" t="s">
        <v>1049</v>
      </c>
      <c r="C14" s="209" t="s">
        <v>1023</v>
      </c>
      <c r="D14" s="202" t="s">
        <v>1024</v>
      </c>
      <c r="G14" s="179"/>
      <c r="H14" s="196"/>
      <c r="I14" s="203"/>
      <c r="J14" s="204">
        <v>1</v>
      </c>
      <c r="K14" s="205"/>
      <c r="L14" s="206" t="s">
        <v>1025</v>
      </c>
      <c r="M14" s="205"/>
      <c r="N14" s="205"/>
      <c r="O14" s="207" t="s">
        <v>1024</v>
      </c>
      <c r="P14" s="179"/>
      <c r="Q14" s="194">
        <v>20</v>
      </c>
      <c r="R14" s="186" t="str">
        <f t="shared" si="1"/>
        <v>II-0001.0020</v>
      </c>
      <c r="S14" s="179" t="str">
        <f t="shared" ref="S14:S21" si="2">CONCATENATE($E$13," ",L14)</f>
        <v xml:space="preserve"> Ø4</v>
      </c>
    </row>
    <row r="15" spans="1:19" x14ac:dyDescent="0.2">
      <c r="A15" s="185">
        <v>21</v>
      </c>
      <c r="B15" s="186" t="s">
        <v>1050</v>
      </c>
      <c r="C15" s="187" t="s">
        <v>1027</v>
      </c>
      <c r="D15" s="202" t="s">
        <v>1024</v>
      </c>
      <c r="G15" s="179"/>
      <c r="H15" s="196"/>
      <c r="I15" s="203"/>
      <c r="J15" s="204">
        <v>2</v>
      </c>
      <c r="K15" s="205"/>
      <c r="L15" s="206" t="s">
        <v>1028</v>
      </c>
      <c r="M15" s="205"/>
      <c r="N15" s="205"/>
      <c r="O15" s="207" t="s">
        <v>1024</v>
      </c>
      <c r="P15" s="179"/>
      <c r="Q15" s="194">
        <v>21</v>
      </c>
      <c r="R15" s="186" t="str">
        <f t="shared" si="1"/>
        <v>II-0001.0021</v>
      </c>
      <c r="S15" s="179" t="str">
        <f t="shared" si="2"/>
        <v xml:space="preserve"> Ø6</v>
      </c>
    </row>
    <row r="16" spans="1:19" x14ac:dyDescent="0.2">
      <c r="A16" s="185">
        <v>22</v>
      </c>
      <c r="B16" s="186" t="s">
        <v>1051</v>
      </c>
      <c r="C16" s="187" t="s">
        <v>1030</v>
      </c>
      <c r="D16" s="202" t="s">
        <v>1024</v>
      </c>
      <c r="G16" s="179"/>
      <c r="H16" s="196"/>
      <c r="I16" s="203"/>
      <c r="J16" s="204">
        <v>3</v>
      </c>
      <c r="K16" s="205"/>
      <c r="L16" s="206" t="s">
        <v>1031</v>
      </c>
      <c r="M16" s="205"/>
      <c r="N16" s="205"/>
      <c r="O16" s="207" t="s">
        <v>1024</v>
      </c>
      <c r="P16" s="179"/>
      <c r="Q16" s="194">
        <v>22</v>
      </c>
      <c r="R16" s="186" t="str">
        <f t="shared" si="1"/>
        <v>II-0001.0022</v>
      </c>
      <c r="S16" s="179" t="str">
        <f t="shared" si="2"/>
        <v xml:space="preserve"> Ø8</v>
      </c>
    </row>
    <row r="17" spans="1:19" x14ac:dyDescent="0.2">
      <c r="A17" s="185">
        <v>23</v>
      </c>
      <c r="B17" s="186" t="s">
        <v>1052</v>
      </c>
      <c r="C17" s="187" t="s">
        <v>1033</v>
      </c>
      <c r="D17" s="202" t="s">
        <v>1024</v>
      </c>
      <c r="G17" s="179"/>
      <c r="H17" s="196"/>
      <c r="I17" s="203"/>
      <c r="J17" s="204">
        <v>4</v>
      </c>
      <c r="K17" s="205"/>
      <c r="L17" s="206" t="s">
        <v>1034</v>
      </c>
      <c r="M17" s="205"/>
      <c r="N17" s="205"/>
      <c r="O17" s="207" t="s">
        <v>1024</v>
      </c>
      <c r="P17" s="179"/>
      <c r="Q17" s="194">
        <v>23</v>
      </c>
      <c r="R17" s="186" t="str">
        <f t="shared" si="1"/>
        <v>II-0001.0023</v>
      </c>
      <c r="S17" s="179" t="str">
        <f t="shared" si="2"/>
        <v xml:space="preserve"> Ø10</v>
      </c>
    </row>
    <row r="18" spans="1:19" x14ac:dyDescent="0.2">
      <c r="A18" s="185">
        <v>24</v>
      </c>
      <c r="B18" s="186" t="s">
        <v>1053</v>
      </c>
      <c r="C18" s="187" t="s">
        <v>1036</v>
      </c>
      <c r="D18" s="202" t="s">
        <v>1024</v>
      </c>
      <c r="G18" s="179"/>
      <c r="H18" s="196"/>
      <c r="I18" s="203"/>
      <c r="J18" s="204">
        <v>5</v>
      </c>
      <c r="K18" s="205"/>
      <c r="L18" s="206" t="s">
        <v>1037</v>
      </c>
      <c r="M18" s="205"/>
      <c r="N18" s="205"/>
      <c r="O18" s="207" t="s">
        <v>1024</v>
      </c>
      <c r="P18" s="179"/>
      <c r="Q18" s="194">
        <v>24</v>
      </c>
      <c r="R18" s="186" t="str">
        <f t="shared" si="1"/>
        <v>II-0001.0024</v>
      </c>
      <c r="S18" s="179" t="str">
        <f t="shared" si="2"/>
        <v xml:space="preserve"> Ø12</v>
      </c>
    </row>
    <row r="19" spans="1:19" x14ac:dyDescent="0.2">
      <c r="A19" s="185">
        <v>25</v>
      </c>
      <c r="B19" s="178" t="s">
        <v>1054</v>
      </c>
      <c r="C19" s="187" t="s">
        <v>1039</v>
      </c>
      <c r="D19" s="202" t="s">
        <v>1024</v>
      </c>
      <c r="G19" s="179"/>
      <c r="H19" s="196"/>
      <c r="I19" s="203"/>
      <c r="J19" s="204">
        <v>6</v>
      </c>
      <c r="K19" s="205"/>
      <c r="L19" s="206" t="s">
        <v>1040</v>
      </c>
      <c r="M19" s="205"/>
      <c r="N19" s="205"/>
      <c r="O19" s="207" t="s">
        <v>1024</v>
      </c>
      <c r="P19" s="179"/>
      <c r="Q19" s="194">
        <v>25</v>
      </c>
      <c r="R19" s="186" t="str">
        <f t="shared" si="1"/>
        <v>II-0001.0025</v>
      </c>
      <c r="S19" s="179" t="str">
        <f t="shared" si="2"/>
        <v xml:space="preserve"> Ø16</v>
      </c>
    </row>
    <row r="20" spans="1:19" x14ac:dyDescent="0.2">
      <c r="A20" s="185">
        <v>26</v>
      </c>
      <c r="B20" s="178" t="s">
        <v>1055</v>
      </c>
      <c r="C20" s="187" t="s">
        <v>1042</v>
      </c>
      <c r="D20" s="202" t="s">
        <v>1024</v>
      </c>
      <c r="G20" s="179"/>
      <c r="H20" s="196"/>
      <c r="I20" s="203"/>
      <c r="J20" s="204">
        <v>7</v>
      </c>
      <c r="K20" s="205"/>
      <c r="L20" s="206" t="s">
        <v>1043</v>
      </c>
      <c r="M20" s="205"/>
      <c r="N20" s="205"/>
      <c r="O20" s="207" t="s">
        <v>1024</v>
      </c>
      <c r="P20" s="179"/>
      <c r="Q20" s="194">
        <v>26</v>
      </c>
      <c r="R20" s="186" t="str">
        <f t="shared" si="1"/>
        <v>II-0001.0026</v>
      </c>
      <c r="S20" s="179" t="str">
        <f t="shared" si="2"/>
        <v xml:space="preserve"> Ø18</v>
      </c>
    </row>
    <row r="21" spans="1:19" x14ac:dyDescent="0.2">
      <c r="A21" s="185">
        <v>27</v>
      </c>
      <c r="B21" s="208" t="s">
        <v>1056</v>
      </c>
      <c r="C21" s="209" t="s">
        <v>1045</v>
      </c>
      <c r="D21" s="202" t="s">
        <v>1024</v>
      </c>
      <c r="G21" s="179"/>
      <c r="H21" s="196"/>
      <c r="I21" s="215"/>
      <c r="J21" s="210">
        <v>8</v>
      </c>
      <c r="K21" s="211"/>
      <c r="L21" s="212" t="s">
        <v>1046</v>
      </c>
      <c r="M21" s="211"/>
      <c r="N21" s="211"/>
      <c r="O21" s="213" t="s">
        <v>1024</v>
      </c>
      <c r="P21" s="179"/>
      <c r="Q21" s="194">
        <v>27</v>
      </c>
      <c r="R21" s="186" t="str">
        <f t="shared" si="1"/>
        <v>II-0001.0027</v>
      </c>
      <c r="S21" s="179" t="str">
        <f t="shared" si="2"/>
        <v xml:space="preserve"> Ø20</v>
      </c>
    </row>
    <row r="22" spans="1:19" x14ac:dyDescent="0.2">
      <c r="A22" s="185"/>
      <c r="B22" s="186"/>
      <c r="C22" s="187"/>
      <c r="D22" s="202"/>
      <c r="G22" s="179"/>
      <c r="H22" s="196"/>
      <c r="I22" s="197" t="s">
        <v>1057</v>
      </c>
      <c r="J22" s="203"/>
      <c r="K22" s="214" t="s">
        <v>1058</v>
      </c>
      <c r="L22" s="200"/>
      <c r="M22" s="200"/>
      <c r="N22" s="200"/>
      <c r="O22" s="201"/>
      <c r="P22" s="179"/>
      <c r="Q22" s="179"/>
      <c r="R22" s="179"/>
      <c r="S22" s="179"/>
    </row>
    <row r="23" spans="1:19" x14ac:dyDescent="0.2">
      <c r="A23" s="185">
        <v>30</v>
      </c>
      <c r="B23" s="186" t="s">
        <v>1059</v>
      </c>
      <c r="C23" s="187" t="s">
        <v>1023</v>
      </c>
      <c r="D23" s="202" t="s">
        <v>1024</v>
      </c>
      <c r="G23" s="179"/>
      <c r="H23" s="196"/>
      <c r="I23" s="203"/>
      <c r="J23" s="204">
        <v>1</v>
      </c>
      <c r="K23" s="205"/>
      <c r="L23" s="206" t="s">
        <v>1025</v>
      </c>
      <c r="M23" s="205"/>
      <c r="N23" s="205"/>
      <c r="O23" s="207" t="s">
        <v>1024</v>
      </c>
      <c r="P23" s="179"/>
      <c r="Q23" s="194">
        <v>30</v>
      </c>
      <c r="R23" s="186" t="str">
        <f t="shared" si="1"/>
        <v>II-0001.0030</v>
      </c>
      <c r="S23" s="179" t="str">
        <f>CONCATENATE($E$22," ",L23)</f>
        <v xml:space="preserve"> Ø4</v>
      </c>
    </row>
    <row r="24" spans="1:19" x14ac:dyDescent="0.2">
      <c r="A24" s="185">
        <v>31</v>
      </c>
      <c r="B24" s="186" t="s">
        <v>1060</v>
      </c>
      <c r="C24" s="187" t="s">
        <v>1027</v>
      </c>
      <c r="D24" s="202" t="s">
        <v>1024</v>
      </c>
      <c r="G24" s="179"/>
      <c r="H24" s="196"/>
      <c r="I24" s="203"/>
      <c r="J24" s="204">
        <v>2</v>
      </c>
      <c r="K24" s="205"/>
      <c r="L24" s="206" t="s">
        <v>1028</v>
      </c>
      <c r="M24" s="205"/>
      <c r="N24" s="205"/>
      <c r="O24" s="207" t="s">
        <v>1024</v>
      </c>
      <c r="P24" s="179"/>
      <c r="Q24" s="194">
        <v>31</v>
      </c>
      <c r="R24" s="186" t="str">
        <f t="shared" si="1"/>
        <v>II-0001.0031</v>
      </c>
      <c r="S24" s="179" t="str">
        <f t="shared" ref="S24:S30" si="3">CONCATENATE($E$22," ",L24)</f>
        <v xml:space="preserve"> Ø6</v>
      </c>
    </row>
    <row r="25" spans="1:19" x14ac:dyDescent="0.2">
      <c r="A25" s="185">
        <v>32</v>
      </c>
      <c r="B25" s="186" t="s">
        <v>1061</v>
      </c>
      <c r="C25" s="187" t="s">
        <v>1030</v>
      </c>
      <c r="D25" s="202" t="s">
        <v>1024</v>
      </c>
      <c r="G25" s="179"/>
      <c r="H25" s="196"/>
      <c r="I25" s="203"/>
      <c r="J25" s="204">
        <v>3</v>
      </c>
      <c r="K25" s="205"/>
      <c r="L25" s="206" t="s">
        <v>1031</v>
      </c>
      <c r="M25" s="205"/>
      <c r="N25" s="205"/>
      <c r="O25" s="207" t="s">
        <v>1024</v>
      </c>
      <c r="P25" s="179"/>
      <c r="Q25" s="194">
        <v>32</v>
      </c>
      <c r="R25" s="186" t="str">
        <f t="shared" si="1"/>
        <v>II-0001.0032</v>
      </c>
      <c r="S25" s="179" t="str">
        <f t="shared" si="3"/>
        <v xml:space="preserve"> Ø8</v>
      </c>
    </row>
    <row r="26" spans="1:19" x14ac:dyDescent="0.2">
      <c r="A26" s="185">
        <v>33</v>
      </c>
      <c r="B26" s="186" t="s">
        <v>1062</v>
      </c>
      <c r="C26" s="187" t="s">
        <v>1033</v>
      </c>
      <c r="D26" s="202" t="s">
        <v>1024</v>
      </c>
      <c r="G26" s="179"/>
      <c r="H26" s="196"/>
      <c r="I26" s="203"/>
      <c r="J26" s="204">
        <v>4</v>
      </c>
      <c r="K26" s="205"/>
      <c r="L26" s="206" t="s">
        <v>1034</v>
      </c>
      <c r="M26" s="205"/>
      <c r="N26" s="205"/>
      <c r="O26" s="207" t="s">
        <v>1024</v>
      </c>
      <c r="P26" s="179"/>
      <c r="Q26" s="194">
        <v>33</v>
      </c>
      <c r="R26" s="186" t="str">
        <f t="shared" si="1"/>
        <v>II-0001.0033</v>
      </c>
      <c r="S26" s="179" t="str">
        <f t="shared" si="3"/>
        <v xml:space="preserve"> Ø10</v>
      </c>
    </row>
    <row r="27" spans="1:19" x14ac:dyDescent="0.2">
      <c r="A27" s="185">
        <v>34</v>
      </c>
      <c r="B27" s="186" t="s">
        <v>1063</v>
      </c>
      <c r="C27" s="187" t="s">
        <v>1036</v>
      </c>
      <c r="D27" s="202" t="s">
        <v>1024</v>
      </c>
      <c r="G27" s="179"/>
      <c r="H27" s="196"/>
      <c r="I27" s="203"/>
      <c r="J27" s="204">
        <v>5</v>
      </c>
      <c r="K27" s="205"/>
      <c r="L27" s="206" t="s">
        <v>1037</v>
      </c>
      <c r="M27" s="205"/>
      <c r="N27" s="205"/>
      <c r="O27" s="207" t="s">
        <v>1024</v>
      </c>
      <c r="P27" s="179"/>
      <c r="Q27" s="194">
        <v>34</v>
      </c>
      <c r="R27" s="186" t="str">
        <f t="shared" si="1"/>
        <v>II-0001.0034</v>
      </c>
      <c r="S27" s="179" t="str">
        <f t="shared" si="3"/>
        <v xml:space="preserve"> Ø12</v>
      </c>
    </row>
    <row r="28" spans="1:19" x14ac:dyDescent="0.2">
      <c r="A28" s="185">
        <v>35</v>
      </c>
      <c r="B28" s="186" t="s">
        <v>1064</v>
      </c>
      <c r="C28" s="187" t="s">
        <v>1039</v>
      </c>
      <c r="D28" s="202" t="s">
        <v>1024</v>
      </c>
      <c r="G28" s="179"/>
      <c r="H28" s="196"/>
      <c r="I28" s="203"/>
      <c r="J28" s="204">
        <v>6</v>
      </c>
      <c r="K28" s="205"/>
      <c r="L28" s="206" t="s">
        <v>1040</v>
      </c>
      <c r="M28" s="205"/>
      <c r="N28" s="205"/>
      <c r="O28" s="207" t="s">
        <v>1024</v>
      </c>
      <c r="P28" s="179"/>
      <c r="Q28" s="194">
        <v>35</v>
      </c>
      <c r="R28" s="186" t="str">
        <f t="shared" si="1"/>
        <v>II-0001.0035</v>
      </c>
      <c r="S28" s="179" t="str">
        <f t="shared" si="3"/>
        <v xml:space="preserve"> Ø16</v>
      </c>
    </row>
    <row r="29" spans="1:19" x14ac:dyDescent="0.2">
      <c r="A29" s="185">
        <v>36</v>
      </c>
      <c r="B29" s="186" t="s">
        <v>1065</v>
      </c>
      <c r="C29" s="187" t="s">
        <v>1042</v>
      </c>
      <c r="D29" s="202" t="s">
        <v>1024</v>
      </c>
      <c r="G29" s="179"/>
      <c r="H29" s="196"/>
      <c r="I29" s="203"/>
      <c r="J29" s="204">
        <v>7</v>
      </c>
      <c r="K29" s="205"/>
      <c r="L29" s="206" t="s">
        <v>1043</v>
      </c>
      <c r="M29" s="205"/>
      <c r="N29" s="205"/>
      <c r="O29" s="207" t="s">
        <v>1024</v>
      </c>
      <c r="P29" s="179"/>
      <c r="Q29" s="194">
        <v>36</v>
      </c>
      <c r="R29" s="186" t="str">
        <f t="shared" si="1"/>
        <v>II-0001.0036</v>
      </c>
      <c r="S29" s="179" t="str">
        <f t="shared" si="3"/>
        <v xml:space="preserve"> Ø18</v>
      </c>
    </row>
    <row r="30" spans="1:19" ht="15.75" thickBot="1" x14ac:dyDescent="0.25">
      <c r="A30" s="185">
        <v>37</v>
      </c>
      <c r="B30" s="186" t="s">
        <v>1066</v>
      </c>
      <c r="C30" s="187" t="s">
        <v>1045</v>
      </c>
      <c r="D30" s="202" t="s">
        <v>1024</v>
      </c>
      <c r="G30" s="179"/>
      <c r="H30" s="216"/>
      <c r="I30" s="217"/>
      <c r="J30" s="218">
        <v>8</v>
      </c>
      <c r="K30" s="219"/>
      <c r="L30" s="220" t="s">
        <v>1046</v>
      </c>
      <c r="M30" s="219"/>
      <c r="N30" s="219"/>
      <c r="O30" s="221" t="s">
        <v>1024</v>
      </c>
      <c r="P30" s="179"/>
      <c r="Q30" s="194">
        <v>37</v>
      </c>
      <c r="R30" s="186" t="str">
        <f t="shared" si="1"/>
        <v>II-0001.0037</v>
      </c>
      <c r="S30" s="179" t="str">
        <f t="shared" si="3"/>
        <v xml:space="preserve"> Ø20</v>
      </c>
    </row>
    <row r="31" spans="1:19" ht="16.5" thickTop="1" thickBot="1" x14ac:dyDescent="0.25">
      <c r="A31" s="185"/>
      <c r="B31" s="186"/>
      <c r="C31" s="187"/>
      <c r="D31" s="202"/>
      <c r="G31" s="179"/>
      <c r="H31" s="196"/>
      <c r="I31" s="203"/>
      <c r="J31" s="203"/>
      <c r="K31" s="205"/>
      <c r="L31" s="206"/>
      <c r="M31" s="205"/>
      <c r="N31" s="205"/>
      <c r="O31" s="222"/>
      <c r="P31" s="179"/>
      <c r="Q31" s="194"/>
      <c r="R31" s="186"/>
      <c r="S31" s="179"/>
    </row>
    <row r="32" spans="1:19" ht="15.75" thickTop="1" x14ac:dyDescent="0.2">
      <c r="A32" s="185">
        <v>2</v>
      </c>
      <c r="B32" s="186" t="s">
        <v>1067</v>
      </c>
      <c r="C32" s="187" t="s">
        <v>1068</v>
      </c>
      <c r="D32" s="202"/>
      <c r="G32" s="179"/>
      <c r="H32" s="223">
        <v>2</v>
      </c>
      <c r="I32" s="224"/>
      <c r="J32" s="225"/>
      <c r="K32" s="866" t="s">
        <v>1068</v>
      </c>
      <c r="L32" s="866"/>
      <c r="M32" s="866"/>
      <c r="N32" s="866"/>
      <c r="O32" s="226"/>
      <c r="P32" s="179"/>
      <c r="Q32" s="194">
        <f>H32</f>
        <v>2</v>
      </c>
      <c r="R32" s="184" t="str">
        <f>CONCATENATE("II-",TEXT(Q32,"0000"))</f>
        <v>II-0002</v>
      </c>
      <c r="S32" s="195" t="str">
        <f>K32</f>
        <v>ABOVEDAMIENTO  REACONDICIONAMIENTO</v>
      </c>
    </row>
    <row r="33" spans="1:19" ht="15.75" thickBot="1" x14ac:dyDescent="0.25">
      <c r="A33" s="185">
        <v>1</v>
      </c>
      <c r="B33" s="186" t="s">
        <v>1069</v>
      </c>
      <c r="C33" s="187" t="s">
        <v>1070</v>
      </c>
      <c r="D33" s="202" t="s">
        <v>6</v>
      </c>
      <c r="G33" s="179"/>
      <c r="H33" s="227"/>
      <c r="I33" s="228" t="s">
        <v>1020</v>
      </c>
      <c r="J33" s="229"/>
      <c r="K33" s="230" t="s">
        <v>1071</v>
      </c>
      <c r="L33" s="231"/>
      <c r="M33" s="231"/>
      <c r="N33" s="231"/>
      <c r="O33" s="232" t="s">
        <v>6</v>
      </c>
      <c r="P33" s="179"/>
      <c r="Q33" s="194">
        <v>1</v>
      </c>
      <c r="R33" s="186" t="str">
        <f>CONCATENATE($R$32,".",TEXT(Q33,"0000"))</f>
        <v>II-0002.0001</v>
      </c>
      <c r="S33" s="179" t="str">
        <f>CONCATENATE($K$33," ",L33)</f>
        <v xml:space="preserve">V-384 </v>
      </c>
    </row>
    <row r="34" spans="1:19" ht="16.5" thickTop="1" thickBot="1" x14ac:dyDescent="0.25">
      <c r="A34" s="185"/>
      <c r="B34" s="178"/>
      <c r="C34" s="187"/>
      <c r="D34" s="202"/>
      <c r="G34" s="179"/>
      <c r="H34" s="196"/>
      <c r="I34" s="203"/>
      <c r="J34" s="203"/>
      <c r="K34" s="233"/>
      <c r="L34" s="205"/>
      <c r="M34" s="205"/>
      <c r="N34" s="205"/>
      <c r="O34" s="234"/>
      <c r="P34" s="179"/>
      <c r="Q34" s="179"/>
      <c r="R34" s="179"/>
      <c r="S34" s="179"/>
    </row>
    <row r="35" spans="1:19" ht="15.75" thickTop="1" x14ac:dyDescent="0.2">
      <c r="A35" s="185">
        <v>3</v>
      </c>
      <c r="B35" s="178" t="s">
        <v>1072</v>
      </c>
      <c r="C35" s="187" t="s">
        <v>1073</v>
      </c>
      <c r="D35" s="202"/>
      <c r="G35" s="179"/>
      <c r="H35" s="223">
        <v>3</v>
      </c>
      <c r="I35" s="225"/>
      <c r="J35" s="225"/>
      <c r="K35" s="235" t="s">
        <v>1073</v>
      </c>
      <c r="L35" s="236"/>
      <c r="M35" s="236"/>
      <c r="N35" s="236"/>
      <c r="O35" s="226"/>
      <c r="P35" s="179"/>
      <c r="Q35" s="194">
        <f>H35</f>
        <v>3</v>
      </c>
      <c r="R35" s="184" t="str">
        <f>CONCATENATE("II-",TEXT(Q35,"0000"))</f>
        <v>II-0003</v>
      </c>
      <c r="S35" s="195" t="str">
        <f>K35</f>
        <v>ALAMBRADO</v>
      </c>
    </row>
    <row r="36" spans="1:19" x14ac:dyDescent="0.2">
      <c r="A36" s="185"/>
      <c r="B36" s="208"/>
      <c r="C36" s="209"/>
      <c r="D36" s="202"/>
      <c r="G36" s="179"/>
      <c r="H36" s="237"/>
      <c r="I36" s="197" t="s">
        <v>1020</v>
      </c>
      <c r="J36" s="198"/>
      <c r="K36" s="233" t="s">
        <v>1074</v>
      </c>
      <c r="L36" s="205"/>
      <c r="M36" s="205"/>
      <c r="N36" s="205"/>
      <c r="O36" s="238"/>
      <c r="P36" s="179"/>
      <c r="Q36" s="179"/>
      <c r="R36" s="179"/>
      <c r="S36" s="179"/>
    </row>
    <row r="37" spans="1:19" x14ac:dyDescent="0.2">
      <c r="A37" s="185">
        <v>1</v>
      </c>
      <c r="B37" s="186" t="s">
        <v>1075</v>
      </c>
      <c r="C37" s="187" t="s">
        <v>1076</v>
      </c>
      <c r="D37" s="202" t="s">
        <v>996</v>
      </c>
      <c r="G37" s="179"/>
      <c r="H37" s="196"/>
      <c r="I37" s="203"/>
      <c r="J37" s="204">
        <v>1</v>
      </c>
      <c r="K37" s="205"/>
      <c r="L37" s="233" t="s">
        <v>1020</v>
      </c>
      <c r="M37" s="239"/>
      <c r="N37" s="205"/>
      <c r="O37" s="222" t="s">
        <v>996</v>
      </c>
      <c r="P37" s="179"/>
      <c r="Q37" s="194">
        <v>1</v>
      </c>
      <c r="R37" s="186" t="str">
        <f>CONCATENATE($R$35,".",TEXT(Q37,"0000"))</f>
        <v>II-0003.0001</v>
      </c>
      <c r="S37" s="179" t="str">
        <f>CONCATENATE($K$36," - TIPO ",L37)</f>
        <v>H-2840-I - TIPO A</v>
      </c>
    </row>
    <row r="38" spans="1:19" x14ac:dyDescent="0.2">
      <c r="A38" s="185">
        <v>2</v>
      </c>
      <c r="B38" s="186" t="s">
        <v>1077</v>
      </c>
      <c r="C38" s="187" t="s">
        <v>1078</v>
      </c>
      <c r="D38" s="202" t="s">
        <v>996</v>
      </c>
      <c r="G38" s="179"/>
      <c r="H38" s="196"/>
      <c r="I38" s="203"/>
      <c r="J38" s="204">
        <v>2</v>
      </c>
      <c r="K38" s="205"/>
      <c r="L38" s="233" t="s">
        <v>1047</v>
      </c>
      <c r="M38" s="239"/>
      <c r="N38" s="205"/>
      <c r="O38" s="222" t="s">
        <v>996</v>
      </c>
      <c r="P38" s="179"/>
      <c r="Q38" s="194">
        <v>2</v>
      </c>
      <c r="R38" s="186" t="str">
        <f t="shared" ref="R38:R42" si="4">CONCATENATE($R$35,".",TEXT(Q38,"0000"))</f>
        <v>II-0003.0002</v>
      </c>
      <c r="S38" s="179" t="str">
        <f t="shared" ref="S38:S40" si="5">CONCATENATE($K$36," - TIPO ",L38)</f>
        <v>H-2840-I - TIPO B</v>
      </c>
    </row>
    <row r="39" spans="1:19" x14ac:dyDescent="0.2">
      <c r="A39" s="185">
        <v>3</v>
      </c>
      <c r="B39" s="186" t="s">
        <v>1079</v>
      </c>
      <c r="C39" s="187" t="s">
        <v>1080</v>
      </c>
      <c r="D39" s="202" t="s">
        <v>996</v>
      </c>
      <c r="G39" s="179"/>
      <c r="H39" s="196"/>
      <c r="I39" s="203"/>
      <c r="J39" s="204">
        <v>3</v>
      </c>
      <c r="K39" s="205"/>
      <c r="L39" s="233" t="s">
        <v>1057</v>
      </c>
      <c r="M39" s="239"/>
      <c r="N39" s="205"/>
      <c r="O39" s="222" t="s">
        <v>996</v>
      </c>
      <c r="P39" s="179"/>
      <c r="Q39" s="194">
        <v>3</v>
      </c>
      <c r="R39" s="186" t="str">
        <f t="shared" si="4"/>
        <v>II-0003.0003</v>
      </c>
      <c r="S39" s="179" t="str">
        <f t="shared" si="5"/>
        <v>H-2840-I - TIPO C</v>
      </c>
    </row>
    <row r="40" spans="1:19" x14ac:dyDescent="0.2">
      <c r="A40" s="185">
        <v>4</v>
      </c>
      <c r="B40" s="178" t="s">
        <v>1081</v>
      </c>
      <c r="C40" s="187" t="s">
        <v>1082</v>
      </c>
      <c r="D40" s="202" t="s">
        <v>996</v>
      </c>
      <c r="G40" s="179"/>
      <c r="H40" s="196"/>
      <c r="I40" s="215"/>
      <c r="J40" s="210">
        <v>4</v>
      </c>
      <c r="K40" s="211"/>
      <c r="L40" s="240" t="s">
        <v>1083</v>
      </c>
      <c r="M40" s="241"/>
      <c r="N40" s="211"/>
      <c r="O40" s="242" t="s">
        <v>996</v>
      </c>
      <c r="P40" s="179"/>
      <c r="Q40" s="194">
        <v>4</v>
      </c>
      <c r="R40" s="186" t="str">
        <f t="shared" si="4"/>
        <v>II-0003.0004</v>
      </c>
      <c r="S40" s="179" t="str">
        <f t="shared" si="5"/>
        <v>H-2840-I - TIPO D</v>
      </c>
    </row>
    <row r="41" spans="1:19" x14ac:dyDescent="0.2">
      <c r="A41" s="185">
        <v>5</v>
      </c>
      <c r="B41" s="186" t="s">
        <v>1084</v>
      </c>
      <c r="C41" s="187" t="s">
        <v>1085</v>
      </c>
      <c r="D41" s="202" t="s">
        <v>996</v>
      </c>
      <c r="G41" s="179"/>
      <c r="H41" s="196"/>
      <c r="I41" s="210" t="s">
        <v>1047</v>
      </c>
      <c r="J41" s="215"/>
      <c r="K41" s="243" t="s">
        <v>1085</v>
      </c>
      <c r="L41" s="244"/>
      <c r="M41" s="244"/>
      <c r="N41" s="244"/>
      <c r="O41" s="245" t="s">
        <v>996</v>
      </c>
      <c r="P41" s="179"/>
      <c r="Q41" s="194">
        <v>5</v>
      </c>
      <c r="R41" s="186" t="str">
        <f t="shared" si="4"/>
        <v>II-0003.0005</v>
      </c>
      <c r="S41" s="179" t="str">
        <f>CONCATENATE($E$36,K41)</f>
        <v>OLIMPICO H-9830</v>
      </c>
    </row>
    <row r="42" spans="1:19" ht="15.75" thickBot="1" x14ac:dyDescent="0.25">
      <c r="A42" s="185">
        <v>6</v>
      </c>
      <c r="B42" s="186" t="s">
        <v>1086</v>
      </c>
      <c r="C42" s="187" t="s">
        <v>1087</v>
      </c>
      <c r="D42" s="202" t="s">
        <v>996</v>
      </c>
      <c r="G42" s="179"/>
      <c r="H42" s="216"/>
      <c r="I42" s="218" t="s">
        <v>1057</v>
      </c>
      <c r="J42" s="229"/>
      <c r="K42" s="230" t="s">
        <v>1087</v>
      </c>
      <c r="L42" s="231"/>
      <c r="M42" s="231"/>
      <c r="N42" s="231"/>
      <c r="O42" s="246" t="s">
        <v>996</v>
      </c>
      <c r="P42" s="179"/>
      <c r="Q42" s="194">
        <v>6</v>
      </c>
      <c r="R42" s="186" t="str">
        <f t="shared" si="4"/>
        <v>II-0003.0006</v>
      </c>
      <c r="S42" s="179" t="str">
        <f>CONCATENATE($E$36,K42)</f>
        <v>TRAZADO C/ REPOSICION  (%)</v>
      </c>
    </row>
    <row r="43" spans="1:19" ht="15.75" thickTop="1" x14ac:dyDescent="0.2">
      <c r="A43" s="185">
        <v>7</v>
      </c>
      <c r="B43" s="186" t="s">
        <v>1088</v>
      </c>
      <c r="C43" s="187" t="s">
        <v>1089</v>
      </c>
      <c r="D43" s="202" t="s">
        <v>996</v>
      </c>
      <c r="G43" s="179"/>
      <c r="H43" s="196"/>
      <c r="I43" s="203"/>
      <c r="J43" s="203"/>
      <c r="K43" s="233"/>
      <c r="L43" s="205"/>
      <c r="M43" s="205"/>
      <c r="N43" s="205"/>
      <c r="O43" s="222"/>
      <c r="P43" s="179"/>
      <c r="Q43" s="194"/>
      <c r="R43" s="186"/>
      <c r="S43" s="179"/>
    </row>
    <row r="44" spans="1:19" x14ac:dyDescent="0.2">
      <c r="A44" s="185"/>
      <c r="B44" s="186"/>
      <c r="C44" s="187"/>
      <c r="D44" s="202"/>
      <c r="G44" s="179"/>
      <c r="H44" s="196"/>
      <c r="I44" s="203"/>
      <c r="J44" s="203"/>
      <c r="K44" s="233"/>
      <c r="L44" s="205"/>
      <c r="M44" s="205"/>
      <c r="N44" s="205"/>
      <c r="O44" s="222"/>
      <c r="P44" s="179"/>
      <c r="Q44" s="194"/>
      <c r="R44" s="186"/>
      <c r="S44" s="179"/>
    </row>
    <row r="45" spans="1:19" x14ac:dyDescent="0.2">
      <c r="A45" s="185">
        <v>4</v>
      </c>
      <c r="B45" s="178" t="s">
        <v>1090</v>
      </c>
      <c r="C45" s="187" t="s">
        <v>1091</v>
      </c>
      <c r="D45" s="202"/>
      <c r="G45" s="179"/>
      <c r="H45" s="223">
        <v>4</v>
      </c>
      <c r="I45" s="225"/>
      <c r="J45" s="225"/>
      <c r="K45" s="867" t="s">
        <v>1091</v>
      </c>
      <c r="L45" s="867"/>
      <c r="M45" s="867"/>
      <c r="N45" s="867"/>
      <c r="O45" s="247"/>
      <c r="P45" s="179"/>
      <c r="Q45" s="194">
        <f>H45</f>
        <v>4</v>
      </c>
      <c r="R45" s="184" t="str">
        <f>CONCATENATE("II-",TEXT(Q45,"0000"))</f>
        <v>II-0004</v>
      </c>
      <c r="S45" s="195" t="str">
        <f>K45</f>
        <v>ALCANTARILLAS METALICAS ACERO CORRUGADO</v>
      </c>
    </row>
    <row r="46" spans="1:19" x14ac:dyDescent="0.2">
      <c r="A46" s="185"/>
      <c r="B46" s="186"/>
      <c r="C46" s="187"/>
      <c r="D46" s="202"/>
      <c r="G46" s="179"/>
      <c r="H46" s="237"/>
      <c r="I46" s="197" t="s">
        <v>1020</v>
      </c>
      <c r="J46" s="198"/>
      <c r="K46" s="199" t="s">
        <v>1092</v>
      </c>
      <c r="L46" s="200"/>
      <c r="M46" s="200"/>
      <c r="N46" s="200"/>
      <c r="O46" s="248"/>
      <c r="P46" s="179"/>
      <c r="Q46" s="179"/>
      <c r="R46" s="179"/>
      <c r="S46" s="179"/>
    </row>
    <row r="47" spans="1:19" x14ac:dyDescent="0.2">
      <c r="A47" s="185">
        <v>1</v>
      </c>
      <c r="B47" s="186" t="s">
        <v>1093</v>
      </c>
      <c r="C47" s="187" t="s">
        <v>1094</v>
      </c>
      <c r="D47" s="202" t="s">
        <v>996</v>
      </c>
      <c r="G47" s="179"/>
      <c r="H47" s="196"/>
      <c r="I47" s="203"/>
      <c r="J47" s="204">
        <v>1</v>
      </c>
      <c r="K47" s="205"/>
      <c r="L47" s="206" t="s">
        <v>1095</v>
      </c>
      <c r="M47" s="205"/>
      <c r="N47" s="205"/>
      <c r="O47" s="222" t="s">
        <v>996</v>
      </c>
      <c r="P47" s="179"/>
      <c r="Q47" s="194">
        <v>1</v>
      </c>
      <c r="R47" s="186" t="str">
        <f>CONCATENATE($R$45,".",TEXT(Q47,"0000"))</f>
        <v>II-0004.0001</v>
      </c>
      <c r="S47" s="179" t="str">
        <f>CONCATENATE($K$46," - TIPO ",L47)</f>
        <v>H-10209 - TIPO H-9987</v>
      </c>
    </row>
    <row r="48" spans="1:19" x14ac:dyDescent="0.2">
      <c r="A48" s="185">
        <v>2</v>
      </c>
      <c r="B48" s="178" t="s">
        <v>1096</v>
      </c>
      <c r="C48" s="187" t="s">
        <v>1097</v>
      </c>
      <c r="D48" s="202" t="s">
        <v>996</v>
      </c>
      <c r="G48" s="179"/>
      <c r="H48" s="196"/>
      <c r="I48" s="203"/>
      <c r="J48" s="210">
        <v>2</v>
      </c>
      <c r="K48" s="205"/>
      <c r="L48" s="206" t="s">
        <v>1098</v>
      </c>
      <c r="M48" s="205"/>
      <c r="N48" s="205"/>
      <c r="O48" s="222" t="s">
        <v>996</v>
      </c>
      <c r="P48" s="179"/>
      <c r="Q48" s="194">
        <v>2</v>
      </c>
      <c r="R48" s="186" t="str">
        <f>CONCATENATE($R$45,".",TEXT(Q48,"0000"))</f>
        <v>II-0004.0002</v>
      </c>
      <c r="S48" s="179" t="str">
        <f>CONCATENATE($K$46," - TIPO ",L48)</f>
        <v>H-10209 - TIPO H-2993</v>
      </c>
    </row>
    <row r="49" spans="1:19" x14ac:dyDescent="0.2">
      <c r="A49" s="185"/>
      <c r="B49" s="178"/>
      <c r="C49" s="187"/>
      <c r="D49" s="202"/>
      <c r="G49" s="179"/>
      <c r="H49" s="196"/>
      <c r="I49" s="197" t="s">
        <v>1047</v>
      </c>
      <c r="J49" s="198"/>
      <c r="K49" s="199" t="s">
        <v>1099</v>
      </c>
      <c r="L49" s="200"/>
      <c r="M49" s="200"/>
      <c r="N49" s="200"/>
      <c r="O49" s="248"/>
      <c r="P49" s="179"/>
      <c r="Q49" s="179"/>
      <c r="R49" s="179"/>
      <c r="S49" s="179"/>
    </row>
    <row r="50" spans="1:19" x14ac:dyDescent="0.2">
      <c r="A50" s="185">
        <v>3</v>
      </c>
      <c r="B50" s="208" t="s">
        <v>1100</v>
      </c>
      <c r="C50" s="209" t="s">
        <v>1101</v>
      </c>
      <c r="D50" s="202" t="s">
        <v>996</v>
      </c>
      <c r="G50" s="179"/>
      <c r="H50" s="196"/>
      <c r="I50" s="203"/>
      <c r="J50" s="204">
        <v>1</v>
      </c>
      <c r="K50" s="205"/>
      <c r="L50" s="206" t="s">
        <v>1095</v>
      </c>
      <c r="M50" s="205"/>
      <c r="N50" s="205"/>
      <c r="O50" s="222" t="s">
        <v>996</v>
      </c>
      <c r="P50" s="179"/>
      <c r="Q50" s="194">
        <v>3</v>
      </c>
      <c r="R50" s="186" t="str">
        <f>CONCATENATE($R$45,".",TEXT(Q50,"0000"))</f>
        <v>II-0004.0003</v>
      </c>
      <c r="S50" s="179" t="str">
        <f>CONCATENATE($K$49," - TIPO ",L50)</f>
        <v>H-10235 - TIPO H-9987</v>
      </c>
    </row>
    <row r="51" spans="1:19" x14ac:dyDescent="0.2">
      <c r="A51" s="185">
        <v>4</v>
      </c>
      <c r="B51" s="186" t="s">
        <v>1102</v>
      </c>
      <c r="C51" s="187" t="s">
        <v>1103</v>
      </c>
      <c r="D51" s="202" t="s">
        <v>996</v>
      </c>
      <c r="G51" s="179"/>
      <c r="H51" s="196"/>
      <c r="I51" s="203"/>
      <c r="J51" s="210">
        <v>2</v>
      </c>
      <c r="K51" s="205"/>
      <c r="L51" s="206" t="s">
        <v>1098</v>
      </c>
      <c r="M51" s="205"/>
      <c r="N51" s="205"/>
      <c r="O51" s="222" t="s">
        <v>996</v>
      </c>
      <c r="P51" s="179"/>
      <c r="Q51" s="194">
        <v>4</v>
      </c>
      <c r="R51" s="186" t="str">
        <f>CONCATENATE($R$45,".",TEXT(Q51,"0000"))</f>
        <v>II-0004.0004</v>
      </c>
      <c r="S51" s="179" t="str">
        <f>CONCATENATE($K$49," - TIPO ",L51)</f>
        <v>H-10235 - TIPO H-2993</v>
      </c>
    </row>
    <row r="52" spans="1:19" x14ac:dyDescent="0.2">
      <c r="A52" s="185"/>
      <c r="B52" s="186"/>
      <c r="C52" s="187"/>
      <c r="D52" s="202"/>
      <c r="G52" s="179"/>
      <c r="H52" s="196"/>
      <c r="I52" s="197" t="s">
        <v>1057</v>
      </c>
      <c r="J52" s="198"/>
      <c r="K52" s="199" t="s">
        <v>1104</v>
      </c>
      <c r="L52" s="200"/>
      <c r="M52" s="200"/>
      <c r="N52" s="200"/>
      <c r="O52" s="248"/>
      <c r="P52" s="179"/>
      <c r="Q52" s="179"/>
      <c r="R52" s="179"/>
      <c r="S52" s="179"/>
    </row>
    <row r="53" spans="1:19" ht="15.75" thickBot="1" x14ac:dyDescent="0.25">
      <c r="A53" s="185">
        <v>5</v>
      </c>
      <c r="B53" s="186" t="s">
        <v>1105</v>
      </c>
      <c r="C53" s="187" t="s">
        <v>1106</v>
      </c>
      <c r="D53" s="202" t="s">
        <v>996</v>
      </c>
      <c r="G53" s="179"/>
      <c r="H53" s="249"/>
      <c r="I53" s="250"/>
      <c r="J53" s="251">
        <v>1</v>
      </c>
      <c r="K53" s="252"/>
      <c r="L53" s="253" t="s">
        <v>1107</v>
      </c>
      <c r="M53" s="252"/>
      <c r="N53" s="252"/>
      <c r="O53" s="254" t="s">
        <v>996</v>
      </c>
      <c r="P53" s="179"/>
      <c r="Q53" s="194">
        <v>5</v>
      </c>
      <c r="R53" s="186" t="str">
        <f>CONCATENATE($R$45,".",TEXT(Q53,"0000"))</f>
        <v>II-0004.0005</v>
      </c>
      <c r="S53" s="179" t="str">
        <f>CONCATENATE($K$52," - TIPO ",L53)</f>
        <v>H-10236 - TIPO H-2553</v>
      </c>
    </row>
    <row r="54" spans="1:19" x14ac:dyDescent="0.2">
      <c r="A54" s="185"/>
      <c r="B54" s="186"/>
      <c r="C54" s="187"/>
      <c r="D54" s="202"/>
      <c r="G54" s="205"/>
      <c r="H54" s="255"/>
      <c r="I54" s="203"/>
      <c r="J54" s="203"/>
      <c r="K54" s="205"/>
      <c r="L54" s="206"/>
      <c r="M54" s="205"/>
      <c r="N54" s="205"/>
      <c r="O54" s="239"/>
      <c r="P54" s="205"/>
      <c r="Q54" s="205"/>
      <c r="R54" s="205"/>
      <c r="S54" s="205"/>
    </row>
    <row r="55" spans="1:19" x14ac:dyDescent="0.2">
      <c r="A55" s="185">
        <v>4</v>
      </c>
      <c r="B55" s="186" t="s">
        <v>1090</v>
      </c>
      <c r="C55" s="187" t="s">
        <v>1091</v>
      </c>
      <c r="D55" s="202"/>
      <c r="G55" s="179"/>
      <c r="H55" s="223">
        <v>4</v>
      </c>
      <c r="I55" s="225"/>
      <c r="J55" s="225"/>
      <c r="K55" s="867" t="s">
        <v>1091</v>
      </c>
      <c r="L55" s="867"/>
      <c r="M55" s="867"/>
      <c r="N55" s="867"/>
      <c r="O55" s="247"/>
      <c r="P55" s="179"/>
      <c r="Q55" s="194">
        <f>H55</f>
        <v>4</v>
      </c>
      <c r="R55" s="184" t="str">
        <f>CONCATENATE("II-",TEXT(Q55,"0000"))</f>
        <v>II-0004</v>
      </c>
      <c r="S55" s="195" t="str">
        <f>K55</f>
        <v>ALCANTARILLAS METALICAS ACERO CORRUGADO</v>
      </c>
    </row>
    <row r="56" spans="1:19" x14ac:dyDescent="0.2">
      <c r="A56" s="185"/>
      <c r="B56" s="186"/>
      <c r="C56" s="187"/>
      <c r="D56" s="202"/>
      <c r="G56" s="179"/>
      <c r="H56" s="196"/>
      <c r="I56" s="197" t="s">
        <v>1083</v>
      </c>
      <c r="J56" s="198"/>
      <c r="K56" s="206" t="s">
        <v>1048</v>
      </c>
      <c r="L56" s="205"/>
      <c r="M56" s="205"/>
      <c r="N56" s="205"/>
      <c r="O56" s="238"/>
      <c r="P56" s="179"/>
      <c r="Q56" s="179"/>
      <c r="R56" s="179"/>
      <c r="S56" s="179"/>
    </row>
    <row r="57" spans="1:19" x14ac:dyDescent="0.2">
      <c r="A57" s="185">
        <v>10</v>
      </c>
      <c r="B57" s="186" t="s">
        <v>1108</v>
      </c>
      <c r="C57" s="187" t="s">
        <v>1109</v>
      </c>
      <c r="D57" s="202" t="s">
        <v>996</v>
      </c>
      <c r="G57" s="179"/>
      <c r="H57" s="196"/>
      <c r="I57" s="203"/>
      <c r="J57" s="204">
        <v>1</v>
      </c>
      <c r="K57" s="205"/>
      <c r="L57" s="206" t="s">
        <v>1110</v>
      </c>
      <c r="M57" s="205"/>
      <c r="N57" s="205"/>
      <c r="O57" s="238" t="s">
        <v>996</v>
      </c>
      <c r="P57" s="179"/>
      <c r="Q57" s="194">
        <v>10</v>
      </c>
      <c r="R57" s="186" t="str">
        <f>CONCATENATE($R$45,".",TEXT(Q57,"0000"))</f>
        <v>II-0004.0010</v>
      </c>
      <c r="S57" s="179" t="str">
        <f>CONCATENATE($K$56," - TIPO ",L57)</f>
        <v>ESPECIAL - TIPO BOVEDA PERFIL ALTO Z-6584</v>
      </c>
    </row>
    <row r="58" spans="1:19" x14ac:dyDescent="0.2">
      <c r="A58" s="185">
        <v>11</v>
      </c>
      <c r="B58" s="186" t="s">
        <v>1111</v>
      </c>
      <c r="C58" s="187" t="s">
        <v>1112</v>
      </c>
      <c r="D58" s="202" t="s">
        <v>996</v>
      </c>
      <c r="G58" s="179"/>
      <c r="H58" s="196"/>
      <c r="I58" s="203"/>
      <c r="J58" s="204">
        <v>2</v>
      </c>
      <c r="K58" s="205"/>
      <c r="L58" s="206" t="s">
        <v>1113</v>
      </c>
      <c r="M58" s="205"/>
      <c r="N58" s="205"/>
      <c r="O58" s="238" t="s">
        <v>996</v>
      </c>
      <c r="P58" s="179"/>
      <c r="Q58" s="194">
        <v>11</v>
      </c>
      <c r="R58" s="186" t="str">
        <f t="shared" ref="R58:R67" si="6">CONCATENATE($R$45,".",TEXT(Q58,"0000"))</f>
        <v>II-0004.0011</v>
      </c>
      <c r="S58" s="179" t="str">
        <f t="shared" ref="S58:S61" si="7">CONCATENATE($K$56," - TIPO ",L58)</f>
        <v>ESPECIAL - TIPO BOVEDA PERFIL BAJO Z-6584</v>
      </c>
    </row>
    <row r="59" spans="1:19" x14ac:dyDescent="0.2">
      <c r="A59" s="185">
        <v>12</v>
      </c>
      <c r="B59" s="178" t="s">
        <v>1114</v>
      </c>
      <c r="C59" s="187" t="s">
        <v>1115</v>
      </c>
      <c r="D59" s="202" t="s">
        <v>996</v>
      </c>
      <c r="G59" s="179"/>
      <c r="H59" s="196"/>
      <c r="I59" s="203"/>
      <c r="J59" s="204">
        <v>3</v>
      </c>
      <c r="K59" s="205"/>
      <c r="L59" s="206" t="s">
        <v>1116</v>
      </c>
      <c r="M59" s="205"/>
      <c r="N59" s="205"/>
      <c r="O59" s="238" t="s">
        <v>996</v>
      </c>
      <c r="P59" s="179"/>
      <c r="Q59" s="194">
        <v>12</v>
      </c>
      <c r="R59" s="186" t="str">
        <f t="shared" si="6"/>
        <v>II-0004.0012</v>
      </c>
      <c r="S59" s="179" t="str">
        <f t="shared" si="7"/>
        <v>ESPECIAL - TIPO CIRCULAR</v>
      </c>
    </row>
    <row r="60" spans="1:19" x14ac:dyDescent="0.2">
      <c r="A60" s="185">
        <v>13</v>
      </c>
      <c r="B60" s="178" t="s">
        <v>1117</v>
      </c>
      <c r="C60" s="187" t="s">
        <v>1118</v>
      </c>
      <c r="D60" s="202" t="s">
        <v>996</v>
      </c>
      <c r="G60" s="179"/>
      <c r="H60" s="196"/>
      <c r="I60" s="203"/>
      <c r="J60" s="204">
        <v>4</v>
      </c>
      <c r="K60" s="205"/>
      <c r="L60" s="206" t="s">
        <v>1119</v>
      </c>
      <c r="M60" s="205"/>
      <c r="N60" s="205"/>
      <c r="O60" s="238" t="s">
        <v>996</v>
      </c>
      <c r="P60" s="179"/>
      <c r="Q60" s="194">
        <v>13</v>
      </c>
      <c r="R60" s="186" t="str">
        <f t="shared" si="6"/>
        <v>II-0004.0013</v>
      </c>
      <c r="S60" s="179" t="str">
        <f t="shared" si="7"/>
        <v>ESPECIAL - TIPO ELIPTICA</v>
      </c>
    </row>
    <row r="61" spans="1:19" x14ac:dyDescent="0.2">
      <c r="A61" s="185">
        <v>14</v>
      </c>
      <c r="B61" s="186" t="s">
        <v>1120</v>
      </c>
      <c r="C61" s="187" t="s">
        <v>1121</v>
      </c>
      <c r="D61" s="202" t="s">
        <v>996</v>
      </c>
      <c r="G61" s="179"/>
      <c r="H61" s="196"/>
      <c r="I61" s="256"/>
      <c r="J61" s="210">
        <v>5</v>
      </c>
      <c r="K61" s="211"/>
      <c r="L61" s="212" t="s">
        <v>1122</v>
      </c>
      <c r="M61" s="211"/>
      <c r="N61" s="211"/>
      <c r="O61" s="257" t="s">
        <v>996</v>
      </c>
      <c r="P61" s="179"/>
      <c r="Q61" s="194">
        <v>14</v>
      </c>
      <c r="R61" s="186" t="str">
        <f t="shared" si="6"/>
        <v>II-0004.0014</v>
      </c>
      <c r="S61" s="179" t="str">
        <f t="shared" si="7"/>
        <v>ESPECIAL - TIPO ELIPTICA P/ FERROCARRIL Z-6584</v>
      </c>
    </row>
    <row r="62" spans="1:19" x14ac:dyDescent="0.2">
      <c r="A62" s="185">
        <v>20</v>
      </c>
      <c r="B62" s="186" t="s">
        <v>1123</v>
      </c>
      <c r="C62" s="187" t="s">
        <v>1124</v>
      </c>
      <c r="D62" s="202" t="s">
        <v>996</v>
      </c>
      <c r="G62" s="258"/>
      <c r="H62" s="259"/>
      <c r="I62" s="260" t="s">
        <v>1125</v>
      </c>
      <c r="J62" s="260"/>
      <c r="K62" s="261" t="s">
        <v>1124</v>
      </c>
      <c r="L62" s="262"/>
      <c r="M62" s="262"/>
      <c r="N62" s="262"/>
      <c r="O62" s="263" t="s">
        <v>996</v>
      </c>
      <c r="P62" s="258"/>
      <c r="Q62" s="194">
        <v>20</v>
      </c>
      <c r="R62" s="186" t="str">
        <f t="shared" si="6"/>
        <v>II-0004.0020</v>
      </c>
      <c r="S62" s="179" t="str">
        <f>CONCATENATE(K62)</f>
        <v>PINTURA</v>
      </c>
    </row>
    <row r="63" spans="1:19" x14ac:dyDescent="0.2">
      <c r="A63" s="185">
        <v>21</v>
      </c>
      <c r="B63" s="178" t="s">
        <v>1126</v>
      </c>
      <c r="C63" s="187" t="s">
        <v>1127</v>
      </c>
      <c r="D63" s="202" t="s">
        <v>996</v>
      </c>
      <c r="G63" s="258"/>
      <c r="H63" s="259"/>
      <c r="I63" s="260" t="s">
        <v>1128</v>
      </c>
      <c r="J63" s="260"/>
      <c r="K63" s="868" t="s">
        <v>1127</v>
      </c>
      <c r="L63" s="868"/>
      <c r="M63" s="262"/>
      <c r="N63" s="262"/>
      <c r="O63" s="264" t="s">
        <v>996</v>
      </c>
      <c r="P63" s="258"/>
      <c r="Q63" s="194">
        <v>21</v>
      </c>
      <c r="R63" s="186" t="str">
        <f t="shared" si="6"/>
        <v>II-0004.0021</v>
      </c>
      <c r="S63" s="179" t="str">
        <f t="shared" ref="S63:S67" si="8">CONCATENATE(K63)</f>
        <v>COLOCACION</v>
      </c>
    </row>
    <row r="64" spans="1:19" x14ac:dyDescent="0.2">
      <c r="A64" s="185">
        <v>22</v>
      </c>
      <c r="B64" s="186" t="s">
        <v>1129</v>
      </c>
      <c r="C64" s="187" t="s">
        <v>1130</v>
      </c>
      <c r="D64" s="202" t="s">
        <v>1131</v>
      </c>
      <c r="G64" s="258"/>
      <c r="H64" s="259"/>
      <c r="I64" s="260" t="s">
        <v>1132</v>
      </c>
      <c r="J64" s="260"/>
      <c r="K64" s="868" t="s">
        <v>1130</v>
      </c>
      <c r="L64" s="868"/>
      <c r="M64" s="262"/>
      <c r="N64" s="262"/>
      <c r="O64" s="264" t="s">
        <v>1131</v>
      </c>
      <c r="P64" s="258"/>
      <c r="Q64" s="194">
        <v>22</v>
      </c>
      <c r="R64" s="186" t="str">
        <f t="shared" si="6"/>
        <v>II-0004.0022</v>
      </c>
      <c r="S64" s="179" t="str">
        <f t="shared" si="8"/>
        <v>RELLENO DE SOCAVACION</v>
      </c>
    </row>
    <row r="65" spans="1:19" x14ac:dyDescent="0.2">
      <c r="A65" s="185">
        <v>23</v>
      </c>
      <c r="B65" s="186" t="s">
        <v>1133</v>
      </c>
      <c r="C65" s="187" t="s">
        <v>1134</v>
      </c>
      <c r="D65" s="202" t="s">
        <v>996</v>
      </c>
      <c r="G65" s="179"/>
      <c r="H65" s="259"/>
      <c r="I65" s="197" t="s">
        <v>1135</v>
      </c>
      <c r="J65" s="244"/>
      <c r="K65" s="265" t="s">
        <v>1134</v>
      </c>
      <c r="L65" s="244"/>
      <c r="M65" s="244"/>
      <c r="N65" s="244"/>
      <c r="O65" s="264" t="s">
        <v>996</v>
      </c>
      <c r="P65" s="179"/>
      <c r="Q65" s="194">
        <v>23</v>
      </c>
      <c r="R65" s="186" t="str">
        <f t="shared" si="6"/>
        <v>II-0004.0023</v>
      </c>
      <c r="S65" s="179" t="str">
        <f t="shared" si="8"/>
        <v>REPARACION</v>
      </c>
    </row>
    <row r="66" spans="1:19" x14ac:dyDescent="0.2">
      <c r="A66" s="185">
        <v>24</v>
      </c>
      <c r="B66" s="178" t="s">
        <v>1136</v>
      </c>
      <c r="C66" s="187" t="s">
        <v>1137</v>
      </c>
      <c r="D66" s="202" t="s">
        <v>996</v>
      </c>
      <c r="G66" s="179"/>
      <c r="H66" s="259"/>
      <c r="I66" s="197" t="s">
        <v>889</v>
      </c>
      <c r="J66" s="244"/>
      <c r="K66" s="265" t="s">
        <v>1137</v>
      </c>
      <c r="L66" s="244"/>
      <c r="M66" s="244"/>
      <c r="N66" s="244"/>
      <c r="O66" s="264" t="s">
        <v>996</v>
      </c>
      <c r="P66" s="179"/>
      <c r="Q66" s="194">
        <v>24</v>
      </c>
      <c r="R66" s="186" t="str">
        <f t="shared" si="6"/>
        <v>II-0004.0024</v>
      </c>
      <c r="S66" s="179" t="str">
        <f t="shared" si="8"/>
        <v>RETIRO Y RECOLOCACION</v>
      </c>
    </row>
    <row r="67" spans="1:19" ht="15.75" thickBot="1" x14ac:dyDescent="0.25">
      <c r="A67" s="185">
        <v>25</v>
      </c>
      <c r="B67" s="178" t="s">
        <v>1138</v>
      </c>
      <c r="C67" s="187" t="s">
        <v>1139</v>
      </c>
      <c r="D67" s="202" t="s">
        <v>996</v>
      </c>
      <c r="G67" s="179"/>
      <c r="H67" s="266"/>
      <c r="I67" s="228" t="s">
        <v>1140</v>
      </c>
      <c r="J67" s="231"/>
      <c r="K67" s="267" t="s">
        <v>1139</v>
      </c>
      <c r="L67" s="231"/>
      <c r="M67" s="231"/>
      <c r="N67" s="231"/>
      <c r="O67" s="268" t="s">
        <v>996</v>
      </c>
      <c r="P67" s="179"/>
      <c r="Q67" s="194">
        <v>25</v>
      </c>
      <c r="R67" s="186" t="str">
        <f t="shared" si="6"/>
        <v>II-0004.0025</v>
      </c>
      <c r="S67" s="179" t="str">
        <f t="shared" si="8"/>
        <v xml:space="preserve">RETIRO </v>
      </c>
    </row>
    <row r="68" spans="1:19" ht="16.5" thickTop="1" thickBot="1" x14ac:dyDescent="0.25">
      <c r="A68" s="185"/>
      <c r="B68" s="208"/>
      <c r="C68" s="209"/>
      <c r="D68" s="202"/>
      <c r="G68" s="179"/>
      <c r="H68" s="196"/>
      <c r="I68" s="203"/>
      <c r="J68" s="205"/>
      <c r="K68" s="206"/>
      <c r="L68" s="205"/>
      <c r="M68" s="205"/>
      <c r="N68" s="205"/>
      <c r="O68" s="269"/>
      <c r="P68" s="179"/>
      <c r="Q68" s="194"/>
      <c r="R68" s="186"/>
      <c r="S68" s="179"/>
    </row>
    <row r="69" spans="1:19" ht="15.75" thickTop="1" x14ac:dyDescent="0.2">
      <c r="A69" s="185">
        <v>5</v>
      </c>
      <c r="B69" s="186" t="s">
        <v>1141</v>
      </c>
      <c r="C69" s="187" t="s">
        <v>1142</v>
      </c>
      <c r="D69" s="202"/>
      <c r="G69" s="179"/>
      <c r="H69" s="223">
        <v>5</v>
      </c>
      <c r="I69" s="225"/>
      <c r="J69" s="236"/>
      <c r="K69" s="270" t="s">
        <v>1142</v>
      </c>
      <c r="L69" s="236"/>
      <c r="M69" s="236"/>
      <c r="N69" s="236"/>
      <c r="O69" s="247"/>
      <c r="P69" s="179"/>
      <c r="Q69" s="194">
        <f>H69</f>
        <v>5</v>
      </c>
      <c r="R69" s="184" t="str">
        <f>CONCATENATE("II-",TEXT(Q69,"0000"))</f>
        <v>II-0005</v>
      </c>
      <c r="S69" s="195" t="str">
        <f>K69</f>
        <v>ALCANTARILLAS HORMIGON</v>
      </c>
    </row>
    <row r="70" spans="1:19" x14ac:dyDescent="0.2">
      <c r="A70" s="185"/>
      <c r="B70" s="186"/>
      <c r="C70" s="187"/>
      <c r="D70" s="202"/>
      <c r="G70" s="179"/>
      <c r="H70" s="196"/>
      <c r="I70" s="197" t="s">
        <v>1020</v>
      </c>
      <c r="J70" s="200"/>
      <c r="K70" s="206" t="s">
        <v>1116</v>
      </c>
      <c r="L70" s="205"/>
      <c r="M70" s="205"/>
      <c r="N70" s="205"/>
      <c r="O70" s="238"/>
      <c r="P70" s="179"/>
      <c r="Q70" s="179"/>
      <c r="R70" s="179"/>
      <c r="S70" s="179"/>
    </row>
    <row r="71" spans="1:19" x14ac:dyDescent="0.2">
      <c r="A71" s="185">
        <v>1</v>
      </c>
      <c r="B71" s="186" t="s">
        <v>1143</v>
      </c>
      <c r="C71" s="187" t="s">
        <v>1144</v>
      </c>
      <c r="D71" s="202" t="s">
        <v>996</v>
      </c>
      <c r="G71" s="179"/>
      <c r="H71" s="196"/>
      <c r="I71" s="203"/>
      <c r="J71" s="204">
        <v>1</v>
      </c>
      <c r="K71" s="205"/>
      <c r="L71" s="206" t="s">
        <v>1145</v>
      </c>
      <c r="M71" s="205"/>
      <c r="N71" s="205"/>
      <c r="O71" s="238" t="s">
        <v>996</v>
      </c>
      <c r="P71" s="179"/>
      <c r="Q71" s="194">
        <v>1</v>
      </c>
      <c r="R71" s="186" t="str">
        <f>CONCATENATE($R$69,".",TEXT(Q71,"0000"))</f>
        <v>II-0005.0001</v>
      </c>
      <c r="S71" s="179" t="str">
        <f>CONCATENATE($K$70," - TIPO ",L71)</f>
        <v>CIRCULAR - TIPO A-82</v>
      </c>
    </row>
    <row r="72" spans="1:19" x14ac:dyDescent="0.2">
      <c r="A72" s="185">
        <v>2</v>
      </c>
      <c r="B72" s="186" t="s">
        <v>1146</v>
      </c>
      <c r="C72" s="187" t="s">
        <v>1147</v>
      </c>
      <c r="D72" s="202" t="s">
        <v>996</v>
      </c>
      <c r="G72" s="179"/>
      <c r="H72" s="196"/>
      <c r="I72" s="215"/>
      <c r="J72" s="210">
        <v>2</v>
      </c>
      <c r="K72" s="211"/>
      <c r="L72" s="212" t="s">
        <v>1098</v>
      </c>
      <c r="M72" s="211"/>
      <c r="N72" s="211"/>
      <c r="O72" s="257" t="s">
        <v>996</v>
      </c>
      <c r="P72" s="179"/>
      <c r="Q72" s="194">
        <v>2</v>
      </c>
      <c r="R72" s="186" t="str">
        <f>CONCATENATE($R$69,".",TEXT(Q72,"0000"))</f>
        <v>II-0005.0002</v>
      </c>
      <c r="S72" s="179" t="str">
        <f>CONCATENATE($K$70," - TIPO ",L72)</f>
        <v>CIRCULAR - TIPO H-2993</v>
      </c>
    </row>
    <row r="73" spans="1:19" x14ac:dyDescent="0.2">
      <c r="A73" s="185"/>
      <c r="B73" s="178"/>
      <c r="C73" s="187"/>
      <c r="D73" s="202" t="s">
        <v>996</v>
      </c>
      <c r="G73" s="179"/>
      <c r="H73" s="196"/>
      <c r="I73" s="210" t="s">
        <v>1047</v>
      </c>
      <c r="J73" s="203"/>
      <c r="K73" s="206" t="s">
        <v>1148</v>
      </c>
      <c r="L73" s="206"/>
      <c r="M73" s="205"/>
      <c r="N73" s="205"/>
      <c r="O73" s="238" t="s">
        <v>996</v>
      </c>
      <c r="P73" s="179"/>
      <c r="Q73" s="179"/>
      <c r="R73" s="179"/>
      <c r="S73" s="179"/>
    </row>
    <row r="74" spans="1:19" x14ac:dyDescent="0.2">
      <c r="A74" s="185">
        <v>10</v>
      </c>
      <c r="B74" s="178" t="s">
        <v>1149</v>
      </c>
      <c r="C74" s="187" t="s">
        <v>1150</v>
      </c>
      <c r="D74" s="202" t="s">
        <v>996</v>
      </c>
      <c r="G74" s="179"/>
      <c r="H74" s="196"/>
      <c r="I74" s="203"/>
      <c r="J74" s="204">
        <v>1</v>
      </c>
      <c r="K74" s="205"/>
      <c r="L74" s="206" t="s">
        <v>1151</v>
      </c>
      <c r="M74" s="205"/>
      <c r="N74" s="205"/>
      <c r="O74" s="222" t="s">
        <v>996</v>
      </c>
      <c r="P74" s="179"/>
      <c r="Q74" s="194">
        <v>10</v>
      </c>
      <c r="R74" s="186" t="str">
        <f>CONCATENATE($R$69,".",TEXT(Q74,"0000"))</f>
        <v>II-0005.0010</v>
      </c>
      <c r="S74" s="179" t="str">
        <f>CONCATENATE($K$73," - TIPO ",L74)</f>
        <v>RECTANGULAR - TIPO H-1900-BIS-1</v>
      </c>
    </row>
    <row r="75" spans="1:19" x14ac:dyDescent="0.2">
      <c r="A75" s="185">
        <v>11</v>
      </c>
      <c r="B75" s="208" t="s">
        <v>1152</v>
      </c>
      <c r="C75" s="209" t="s">
        <v>1153</v>
      </c>
      <c r="D75" s="202" t="s">
        <v>996</v>
      </c>
      <c r="G75" s="179"/>
      <c r="H75" s="196"/>
      <c r="I75" s="203"/>
      <c r="J75" s="204">
        <v>2</v>
      </c>
      <c r="K75" s="205"/>
      <c r="L75" s="206" t="s">
        <v>1154</v>
      </c>
      <c r="M75" s="205"/>
      <c r="N75" s="205"/>
      <c r="O75" s="222" t="s">
        <v>996</v>
      </c>
      <c r="P75" s="179"/>
      <c r="Q75" s="194">
        <v>11</v>
      </c>
      <c r="R75" s="186" t="str">
        <f t="shared" ref="R75:R90" si="9">CONCATENATE($R$69,".",TEXT(Q75,"0000"))</f>
        <v>II-0005.0011</v>
      </c>
      <c r="S75" s="179" t="str">
        <f t="shared" ref="S75:S85" si="10">CONCATENATE($K$73," - TIPO ",L75)</f>
        <v>RECTANGULAR - TIPO O-41211-I</v>
      </c>
    </row>
    <row r="76" spans="1:19" x14ac:dyDescent="0.2">
      <c r="A76" s="185">
        <v>12</v>
      </c>
      <c r="B76" s="186" t="s">
        <v>1155</v>
      </c>
      <c r="C76" s="187" t="s">
        <v>1156</v>
      </c>
      <c r="D76" s="202" t="s">
        <v>996</v>
      </c>
      <c r="G76" s="179"/>
      <c r="H76" s="196"/>
      <c r="I76" s="203"/>
      <c r="J76" s="204">
        <v>3</v>
      </c>
      <c r="K76" s="205"/>
      <c r="L76" s="206" t="s">
        <v>1157</v>
      </c>
      <c r="M76" s="205"/>
      <c r="N76" s="205"/>
      <c r="O76" s="222" t="s">
        <v>996</v>
      </c>
      <c r="P76" s="179"/>
      <c r="Q76" s="194">
        <v>12</v>
      </c>
      <c r="R76" s="186" t="str">
        <f t="shared" si="9"/>
        <v>II-0005.0012</v>
      </c>
      <c r="S76" s="179" t="str">
        <f t="shared" si="10"/>
        <v>RECTANGULAR - TIPO Z-959</v>
      </c>
    </row>
    <row r="77" spans="1:19" x14ac:dyDescent="0.2">
      <c r="A77" s="185">
        <v>13</v>
      </c>
      <c r="B77" s="186" t="s">
        <v>1158</v>
      </c>
      <c r="C77" s="187" t="s">
        <v>1159</v>
      </c>
      <c r="D77" s="202" t="s">
        <v>996</v>
      </c>
      <c r="G77" s="179"/>
      <c r="H77" s="196"/>
      <c r="I77" s="203"/>
      <c r="J77" s="204">
        <v>4</v>
      </c>
      <c r="K77" s="205"/>
      <c r="L77" s="206" t="s">
        <v>1160</v>
      </c>
      <c r="M77" s="205"/>
      <c r="N77" s="205"/>
      <c r="O77" s="222" t="s">
        <v>996</v>
      </c>
      <c r="P77" s="179"/>
      <c r="Q77" s="194">
        <v>13</v>
      </c>
      <c r="R77" s="186" t="str">
        <f t="shared" si="9"/>
        <v>II-0005.0013</v>
      </c>
      <c r="S77" s="179" t="str">
        <f t="shared" si="10"/>
        <v>RECTANGULAR - TIPO Z-2915-I</v>
      </c>
    </row>
    <row r="78" spans="1:19" x14ac:dyDescent="0.2">
      <c r="A78" s="185">
        <v>14</v>
      </c>
      <c r="B78" s="186" t="s">
        <v>1161</v>
      </c>
      <c r="C78" s="187" t="s">
        <v>1162</v>
      </c>
      <c r="D78" s="202" t="s">
        <v>996</v>
      </c>
      <c r="G78" s="179"/>
      <c r="H78" s="196"/>
      <c r="I78" s="203"/>
      <c r="J78" s="204">
        <v>5</v>
      </c>
      <c r="K78" s="205"/>
      <c r="L78" s="206" t="s">
        <v>1163</v>
      </c>
      <c r="M78" s="205"/>
      <c r="N78" s="205"/>
      <c r="O78" s="222" t="s">
        <v>996</v>
      </c>
      <c r="P78" s="179"/>
      <c r="Q78" s="194">
        <v>14</v>
      </c>
      <c r="R78" s="186" t="str">
        <f t="shared" si="9"/>
        <v>II-0005.0014</v>
      </c>
      <c r="S78" s="179" t="str">
        <f t="shared" si="10"/>
        <v>RECTANGULAR - TIPO Z-2916-I</v>
      </c>
    </row>
    <row r="79" spans="1:19" x14ac:dyDescent="0.2">
      <c r="A79" s="185">
        <v>15</v>
      </c>
      <c r="B79" s="186" t="s">
        <v>1164</v>
      </c>
      <c r="C79" s="187" t="s">
        <v>1165</v>
      </c>
      <c r="D79" s="202" t="s">
        <v>996</v>
      </c>
      <c r="G79" s="179"/>
      <c r="H79" s="196"/>
      <c r="I79" s="203"/>
      <c r="J79" s="204">
        <v>6</v>
      </c>
      <c r="K79" s="205"/>
      <c r="L79" s="206" t="s">
        <v>1166</v>
      </c>
      <c r="M79" s="205"/>
      <c r="N79" s="205"/>
      <c r="O79" s="222" t="s">
        <v>996</v>
      </c>
      <c r="P79" s="179"/>
      <c r="Q79" s="194">
        <v>15</v>
      </c>
      <c r="R79" s="186" t="str">
        <f t="shared" si="9"/>
        <v>II-0005.0015</v>
      </c>
      <c r="S79" s="179" t="str">
        <f t="shared" si="10"/>
        <v>RECTANGULAR - TIPO A-505</v>
      </c>
    </row>
    <row r="80" spans="1:19" x14ac:dyDescent="0.2">
      <c r="A80" s="185">
        <v>16</v>
      </c>
      <c r="B80" s="178" t="s">
        <v>1167</v>
      </c>
      <c r="C80" s="187" t="s">
        <v>1168</v>
      </c>
      <c r="D80" s="202" t="s">
        <v>996</v>
      </c>
      <c r="G80" s="179"/>
      <c r="H80" s="196"/>
      <c r="I80" s="203"/>
      <c r="J80" s="204">
        <v>7</v>
      </c>
      <c r="K80" s="205"/>
      <c r="L80" s="206" t="s">
        <v>1169</v>
      </c>
      <c r="M80" s="205"/>
      <c r="N80" s="205"/>
      <c r="O80" s="222" t="s">
        <v>996</v>
      </c>
      <c r="P80" s="179"/>
      <c r="Q80" s="194">
        <v>16</v>
      </c>
      <c r="R80" s="186" t="str">
        <f t="shared" si="9"/>
        <v>II-0005.0016</v>
      </c>
      <c r="S80" s="179" t="str">
        <f t="shared" si="10"/>
        <v>RECTANGULAR - TIPO A-660</v>
      </c>
    </row>
    <row r="81" spans="1:19" x14ac:dyDescent="0.2">
      <c r="A81" s="185">
        <v>17</v>
      </c>
      <c r="B81" s="178" t="s">
        <v>1170</v>
      </c>
      <c r="C81" s="187" t="s">
        <v>1171</v>
      </c>
      <c r="D81" s="202" t="s">
        <v>996</v>
      </c>
      <c r="G81" s="179"/>
      <c r="H81" s="196"/>
      <c r="I81" s="203"/>
      <c r="J81" s="204">
        <v>8</v>
      </c>
      <c r="K81" s="205"/>
      <c r="L81" s="206" t="s">
        <v>1172</v>
      </c>
      <c r="M81" s="205"/>
      <c r="N81" s="205"/>
      <c r="O81" s="222" t="s">
        <v>996</v>
      </c>
      <c r="P81" s="179"/>
      <c r="Q81" s="194">
        <v>17</v>
      </c>
      <c r="R81" s="186" t="str">
        <f t="shared" si="9"/>
        <v>II-0005.0017</v>
      </c>
      <c r="S81" s="179" t="str">
        <f t="shared" si="10"/>
        <v>RECTANGULAR - TIPO O-41211-MODIFICADA</v>
      </c>
    </row>
    <row r="82" spans="1:19" x14ac:dyDescent="0.2">
      <c r="A82" s="185">
        <v>18</v>
      </c>
      <c r="B82" s="208" t="s">
        <v>1173</v>
      </c>
      <c r="C82" s="209" t="s">
        <v>1174</v>
      </c>
      <c r="D82" s="202" t="s">
        <v>996</v>
      </c>
      <c r="G82" s="179"/>
      <c r="H82" s="196"/>
      <c r="I82" s="203"/>
      <c r="J82" s="204">
        <v>9</v>
      </c>
      <c r="K82" s="205"/>
      <c r="L82" s="206" t="s">
        <v>1175</v>
      </c>
      <c r="M82" s="205"/>
      <c r="N82" s="205"/>
      <c r="O82" s="222" t="s">
        <v>996</v>
      </c>
      <c r="P82" s="179"/>
      <c r="Q82" s="194">
        <v>18</v>
      </c>
      <c r="R82" s="186" t="str">
        <f t="shared" si="9"/>
        <v>II-0005.0018</v>
      </c>
      <c r="S82" s="179" t="str">
        <f t="shared" si="10"/>
        <v>RECTANGULAR - TIPO X-1113</v>
      </c>
    </row>
    <row r="83" spans="1:19" x14ac:dyDescent="0.2">
      <c r="A83" s="185">
        <v>19</v>
      </c>
      <c r="B83" s="186" t="s">
        <v>1176</v>
      </c>
      <c r="C83" s="187" t="s">
        <v>1177</v>
      </c>
      <c r="D83" s="202" t="s">
        <v>996</v>
      </c>
      <c r="G83" s="179"/>
      <c r="H83" s="196"/>
      <c r="I83" s="203"/>
      <c r="J83" s="204">
        <v>10</v>
      </c>
      <c r="K83" s="205"/>
      <c r="L83" s="206" t="s">
        <v>1178</v>
      </c>
      <c r="M83" s="205"/>
      <c r="N83" s="205"/>
      <c r="O83" s="222" t="s">
        <v>996</v>
      </c>
      <c r="P83" s="179"/>
      <c r="Q83" s="194">
        <v>19</v>
      </c>
      <c r="R83" s="186" t="str">
        <f t="shared" si="9"/>
        <v>II-0005.0019</v>
      </c>
      <c r="S83" s="179" t="str">
        <f t="shared" si="10"/>
        <v>RECTANGULAR - TIPO 0-52229</v>
      </c>
    </row>
    <row r="84" spans="1:19" x14ac:dyDescent="0.2">
      <c r="A84" s="185">
        <v>20</v>
      </c>
      <c r="B84" s="186" t="s">
        <v>1179</v>
      </c>
      <c r="C84" s="187" t="s">
        <v>1180</v>
      </c>
      <c r="D84" s="202" t="s">
        <v>996</v>
      </c>
      <c r="G84" s="179"/>
      <c r="H84" s="196"/>
      <c r="I84" s="203"/>
      <c r="J84" s="204">
        <v>11</v>
      </c>
      <c r="K84" s="205"/>
      <c r="L84" s="206" t="s">
        <v>1181</v>
      </c>
      <c r="M84" s="205"/>
      <c r="N84" s="205"/>
      <c r="O84" s="222" t="s">
        <v>996</v>
      </c>
      <c r="P84" s="179"/>
      <c r="Q84" s="194">
        <v>20</v>
      </c>
      <c r="R84" s="186" t="str">
        <f t="shared" si="9"/>
        <v>II-0005.0020</v>
      </c>
      <c r="S84" s="179" t="str">
        <f t="shared" si="10"/>
        <v>RECTANGULAR - TIPO 0-52233</v>
      </c>
    </row>
    <row r="85" spans="1:19" x14ac:dyDescent="0.2">
      <c r="A85" s="185">
        <v>21</v>
      </c>
      <c r="B85" s="178" t="s">
        <v>1182</v>
      </c>
      <c r="C85" s="187" t="s">
        <v>1183</v>
      </c>
      <c r="D85" s="202" t="s">
        <v>996</v>
      </c>
      <c r="G85" s="179"/>
      <c r="H85" s="196"/>
      <c r="I85" s="215"/>
      <c r="J85" s="210">
        <v>12</v>
      </c>
      <c r="K85" s="205"/>
      <c r="L85" s="212" t="s">
        <v>1184</v>
      </c>
      <c r="M85" s="211"/>
      <c r="N85" s="211"/>
      <c r="O85" s="242" t="s">
        <v>996</v>
      </c>
      <c r="P85" s="179"/>
      <c r="Q85" s="194">
        <v>21</v>
      </c>
      <c r="R85" s="186" t="str">
        <f t="shared" si="9"/>
        <v>II-0005.0021</v>
      </c>
      <c r="S85" s="179" t="str">
        <f t="shared" si="10"/>
        <v>RECTANGULAR - TIPO 0-52241</v>
      </c>
    </row>
    <row r="86" spans="1:19" x14ac:dyDescent="0.2">
      <c r="A86" s="185">
        <v>30</v>
      </c>
      <c r="B86" s="178" t="s">
        <v>1185</v>
      </c>
      <c r="C86" s="187" t="s">
        <v>1127</v>
      </c>
      <c r="D86" s="202" t="s">
        <v>996</v>
      </c>
      <c r="G86" s="179"/>
      <c r="H86" s="196"/>
      <c r="I86" s="197" t="s">
        <v>1057</v>
      </c>
      <c r="J86" s="215"/>
      <c r="K86" s="265" t="s">
        <v>1127</v>
      </c>
      <c r="L86" s="212"/>
      <c r="M86" s="211"/>
      <c r="N86" s="211"/>
      <c r="O86" s="242" t="s">
        <v>996</v>
      </c>
      <c r="P86" s="179"/>
      <c r="Q86" s="194">
        <v>30</v>
      </c>
      <c r="R86" s="186" t="str">
        <f t="shared" si="9"/>
        <v>II-0005.0030</v>
      </c>
      <c r="S86" s="179" t="str">
        <f>CONCATENATE(K86)</f>
        <v>COLOCACION</v>
      </c>
    </row>
    <row r="87" spans="1:19" x14ac:dyDescent="0.2">
      <c r="A87" s="185">
        <v>31</v>
      </c>
      <c r="B87" s="208" t="s">
        <v>1186</v>
      </c>
      <c r="C87" s="209" t="s">
        <v>1124</v>
      </c>
      <c r="D87" s="202" t="s">
        <v>996</v>
      </c>
      <c r="G87" s="179"/>
      <c r="H87" s="196"/>
      <c r="I87" s="210" t="s">
        <v>1083</v>
      </c>
      <c r="J87" s="215"/>
      <c r="K87" s="206" t="s">
        <v>1124</v>
      </c>
      <c r="L87" s="212"/>
      <c r="M87" s="211"/>
      <c r="N87" s="211"/>
      <c r="O87" s="242" t="s">
        <v>996</v>
      </c>
      <c r="P87" s="179"/>
      <c r="Q87" s="194">
        <v>31</v>
      </c>
      <c r="R87" s="186" t="str">
        <f t="shared" si="9"/>
        <v>II-0005.0031</v>
      </c>
      <c r="S87" s="179" t="str">
        <f t="shared" ref="S87:S90" si="11">CONCATENATE(K87)</f>
        <v>PINTURA</v>
      </c>
    </row>
    <row r="88" spans="1:19" x14ac:dyDescent="0.2">
      <c r="A88" s="185">
        <v>32</v>
      </c>
      <c r="B88" s="186" t="s">
        <v>1187</v>
      </c>
      <c r="C88" s="187" t="s">
        <v>1188</v>
      </c>
      <c r="D88" s="271" t="s">
        <v>1131</v>
      </c>
      <c r="G88" s="179"/>
      <c r="H88" s="196"/>
      <c r="I88" s="210" t="s">
        <v>1125</v>
      </c>
      <c r="J88" s="215"/>
      <c r="K88" s="265" t="s">
        <v>1188</v>
      </c>
      <c r="L88" s="212"/>
      <c r="M88" s="211"/>
      <c r="N88" s="211"/>
      <c r="O88" s="272" t="s">
        <v>1131</v>
      </c>
      <c r="P88" s="179"/>
      <c r="Q88" s="194">
        <v>32</v>
      </c>
      <c r="R88" s="186" t="str">
        <f t="shared" si="9"/>
        <v>II-0005.0032</v>
      </c>
      <c r="S88" s="179" t="str">
        <f t="shared" si="11"/>
        <v>RELLENO SOCAVACION</v>
      </c>
    </row>
    <row r="89" spans="1:19" x14ac:dyDescent="0.2">
      <c r="A89" s="185">
        <v>33</v>
      </c>
      <c r="B89" s="186" t="s">
        <v>1189</v>
      </c>
      <c r="C89" s="187" t="s">
        <v>1134</v>
      </c>
      <c r="D89" s="202" t="s">
        <v>996</v>
      </c>
      <c r="G89" s="179"/>
      <c r="H89" s="196"/>
      <c r="I89" s="197" t="s">
        <v>1128</v>
      </c>
      <c r="J89" s="244"/>
      <c r="K89" s="265" t="s">
        <v>1134</v>
      </c>
      <c r="L89" s="244"/>
      <c r="M89" s="244"/>
      <c r="N89" s="244"/>
      <c r="O89" s="245" t="s">
        <v>996</v>
      </c>
      <c r="P89" s="179"/>
      <c r="Q89" s="194">
        <v>33</v>
      </c>
      <c r="R89" s="186" t="str">
        <f t="shared" si="9"/>
        <v>II-0005.0033</v>
      </c>
      <c r="S89" s="179" t="str">
        <f t="shared" si="11"/>
        <v>REPARACION</v>
      </c>
    </row>
    <row r="90" spans="1:19" ht="15.75" thickBot="1" x14ac:dyDescent="0.25">
      <c r="A90" s="185">
        <v>34</v>
      </c>
      <c r="B90" s="186" t="s">
        <v>1190</v>
      </c>
      <c r="C90" s="187" t="s">
        <v>1139</v>
      </c>
      <c r="D90" s="202" t="s">
        <v>996</v>
      </c>
      <c r="G90" s="179"/>
      <c r="H90" s="216"/>
      <c r="I90" s="228" t="s">
        <v>1132</v>
      </c>
      <c r="J90" s="219"/>
      <c r="K90" s="220" t="s">
        <v>1139</v>
      </c>
      <c r="L90" s="219"/>
      <c r="M90" s="219"/>
      <c r="N90" s="219"/>
      <c r="O90" s="273" t="s">
        <v>996</v>
      </c>
      <c r="P90" s="179"/>
      <c r="Q90" s="194">
        <v>34</v>
      </c>
      <c r="R90" s="186" t="str">
        <f t="shared" si="9"/>
        <v>II-0005.0034</v>
      </c>
      <c r="S90" s="179" t="str">
        <f t="shared" si="11"/>
        <v xml:space="preserve">RETIRO </v>
      </c>
    </row>
    <row r="91" spans="1:19" ht="16.5" thickTop="1" thickBot="1" x14ac:dyDescent="0.25">
      <c r="A91" s="185"/>
      <c r="B91" s="186"/>
      <c r="C91" s="187"/>
      <c r="D91" s="202"/>
      <c r="G91" s="179"/>
      <c r="H91" s="196"/>
      <c r="I91" s="203"/>
      <c r="J91" s="205"/>
      <c r="K91" s="206"/>
      <c r="L91" s="205"/>
      <c r="M91" s="205"/>
      <c r="N91" s="205"/>
      <c r="O91" s="222"/>
      <c r="P91" s="179"/>
      <c r="Q91" s="194"/>
      <c r="R91" s="186"/>
      <c r="S91" s="179"/>
    </row>
    <row r="92" spans="1:19" ht="15.75" thickTop="1" x14ac:dyDescent="0.2">
      <c r="A92" s="185">
        <v>6</v>
      </c>
      <c r="B92" s="186" t="s">
        <v>1191</v>
      </c>
      <c r="C92" s="187" t="s">
        <v>1192</v>
      </c>
      <c r="D92" s="202"/>
      <c r="G92" s="179"/>
      <c r="H92" s="274">
        <v>6</v>
      </c>
      <c r="I92" s="275"/>
      <c r="J92" s="276"/>
      <c r="K92" s="277" t="s">
        <v>1192</v>
      </c>
      <c r="L92" s="276"/>
      <c r="M92" s="276"/>
      <c r="N92" s="276"/>
      <c r="O92" s="278"/>
      <c r="P92" s="179"/>
      <c r="Q92" s="194">
        <f>H92</f>
        <v>6</v>
      </c>
      <c r="R92" s="184" t="str">
        <f>CONCATENATE("II-",TEXT(Q92,"0000"))</f>
        <v>II-0006</v>
      </c>
      <c r="S92" s="195" t="str">
        <f>K92</f>
        <v>APERTURA DE CAJA P/ ENSANCHE</v>
      </c>
    </row>
    <row r="93" spans="1:19" x14ac:dyDescent="0.2">
      <c r="A93" s="185">
        <v>1</v>
      </c>
      <c r="B93" s="186" t="s">
        <v>1193</v>
      </c>
      <c r="C93" s="187" t="s">
        <v>1089</v>
      </c>
      <c r="D93" s="202" t="s">
        <v>1131</v>
      </c>
      <c r="G93" s="258"/>
      <c r="H93" s="196"/>
      <c r="I93" s="197" t="s">
        <v>1020</v>
      </c>
      <c r="J93" s="244"/>
      <c r="K93" s="265" t="s">
        <v>1089</v>
      </c>
      <c r="L93" s="244"/>
      <c r="M93" s="244"/>
      <c r="N93" s="244"/>
      <c r="O93" s="279" t="s">
        <v>1131</v>
      </c>
      <c r="P93" s="258"/>
      <c r="Q93" s="194">
        <v>1</v>
      </c>
      <c r="R93" s="186" t="str">
        <f>CONCATENATE($R$92,".",TEXT(Q93,"0000"))</f>
        <v>II-0006.0001</v>
      </c>
      <c r="S93" s="179" t="str">
        <f>CONCATENATE(K93)</f>
        <v>RETIRO</v>
      </c>
    </row>
    <row r="94" spans="1:19" ht="15.75" thickBot="1" x14ac:dyDescent="0.25">
      <c r="A94" s="185">
        <v>2</v>
      </c>
      <c r="B94" s="186" t="s">
        <v>1194</v>
      </c>
      <c r="C94" s="187" t="s">
        <v>1195</v>
      </c>
      <c r="D94" s="202" t="s">
        <v>1131</v>
      </c>
      <c r="G94" s="258"/>
      <c r="H94" s="280"/>
      <c r="I94" s="281" t="s">
        <v>1047</v>
      </c>
      <c r="J94" s="282"/>
      <c r="K94" s="283" t="s">
        <v>1195</v>
      </c>
      <c r="L94" s="282"/>
      <c r="M94" s="282"/>
      <c r="N94" s="282"/>
      <c r="O94" s="269" t="s">
        <v>1131</v>
      </c>
      <c r="P94" s="258"/>
      <c r="Q94" s="194">
        <v>2</v>
      </c>
      <c r="R94" s="186" t="str">
        <f>CONCATENATE($R$92,".",TEXT(Q94,"0000"))</f>
        <v>II-0006.0002</v>
      </c>
      <c r="S94" s="179" t="str">
        <f>CONCATENATE(K94)</f>
        <v>RETIRO Y COLOCACION</v>
      </c>
    </row>
    <row r="95" spans="1:19" ht="16.5" thickTop="1" thickBot="1" x14ac:dyDescent="0.25">
      <c r="A95" s="185"/>
      <c r="B95" s="178"/>
      <c r="C95" s="187"/>
      <c r="D95" s="202"/>
      <c r="G95" s="258"/>
      <c r="H95" s="280"/>
      <c r="I95" s="202"/>
      <c r="J95" s="282"/>
      <c r="K95" s="283"/>
      <c r="L95" s="282"/>
      <c r="M95" s="282"/>
      <c r="N95" s="282"/>
      <c r="O95" s="269"/>
      <c r="P95" s="258"/>
      <c r="Q95" s="194"/>
      <c r="R95" s="186"/>
      <c r="S95" s="179"/>
    </row>
    <row r="96" spans="1:19" ht="15.75" thickTop="1" x14ac:dyDescent="0.2">
      <c r="A96" s="185">
        <v>7</v>
      </c>
      <c r="B96" s="178" t="s">
        <v>1196</v>
      </c>
      <c r="C96" s="187" t="s">
        <v>1197</v>
      </c>
      <c r="D96" s="202"/>
      <c r="G96" s="179"/>
      <c r="H96" s="274">
        <v>7</v>
      </c>
      <c r="I96" s="224"/>
      <c r="J96" s="284"/>
      <c r="K96" s="285" t="s">
        <v>1197</v>
      </c>
      <c r="L96" s="284"/>
      <c r="M96" s="284"/>
      <c r="N96" s="284"/>
      <c r="O96" s="226"/>
      <c r="P96" s="179"/>
      <c r="Q96" s="194">
        <f>H96</f>
        <v>7</v>
      </c>
      <c r="R96" s="184" t="str">
        <f>CONCATENATE("II-",TEXT(Q96,"0000"))</f>
        <v>II-0007</v>
      </c>
      <c r="S96" s="195" t="str">
        <f>K96</f>
        <v>APOYO DE POLICLOROPENO SHARE 60</v>
      </c>
    </row>
    <row r="97" spans="1:19" x14ac:dyDescent="0.2">
      <c r="A97" s="185">
        <v>1</v>
      </c>
      <c r="B97" s="208" t="s">
        <v>1198</v>
      </c>
      <c r="C97" s="209" t="s">
        <v>1137</v>
      </c>
      <c r="D97" s="202" t="s">
        <v>1199</v>
      </c>
      <c r="G97" s="179"/>
      <c r="H97" s="196"/>
      <c r="I97" s="197" t="s">
        <v>1020</v>
      </c>
      <c r="J97" s="244"/>
      <c r="K97" s="265" t="s">
        <v>1137</v>
      </c>
      <c r="L97" s="244"/>
      <c r="M97" s="244"/>
      <c r="N97" s="244"/>
      <c r="O97" s="245" t="s">
        <v>1199</v>
      </c>
      <c r="P97" s="179"/>
      <c r="Q97" s="194">
        <v>1</v>
      </c>
      <c r="R97" s="186" t="str">
        <f>CONCATENATE($R$96,".",TEXT(Q97,"0000"))</f>
        <v>II-0007.0001</v>
      </c>
      <c r="S97" s="179" t="str">
        <f>CONCATENATE(K97)</f>
        <v>RETIRO Y RECOLOCACION</v>
      </c>
    </row>
    <row r="98" spans="1:19" ht="15.75" thickBot="1" x14ac:dyDescent="0.25">
      <c r="A98" s="185">
        <v>2</v>
      </c>
      <c r="B98" s="186" t="s">
        <v>1200</v>
      </c>
      <c r="C98" s="187" t="s">
        <v>1134</v>
      </c>
      <c r="D98" s="202" t="s">
        <v>1199</v>
      </c>
      <c r="G98" s="179"/>
      <c r="H98" s="196"/>
      <c r="I98" s="218" t="s">
        <v>1047</v>
      </c>
      <c r="J98" s="205"/>
      <c r="K98" s="206" t="s">
        <v>1134</v>
      </c>
      <c r="L98" s="205"/>
      <c r="M98" s="205"/>
      <c r="N98" s="205"/>
      <c r="O98" s="273" t="s">
        <v>1199</v>
      </c>
      <c r="P98" s="179"/>
      <c r="Q98" s="194">
        <v>2</v>
      </c>
      <c r="R98" s="186" t="str">
        <f>CONCATENATE($R$96,".",TEXT(Q98,"0000"))</f>
        <v>II-0007.0002</v>
      </c>
      <c r="S98" s="179" t="str">
        <f>CONCATENATE(K98)</f>
        <v>REPARACION</v>
      </c>
    </row>
    <row r="99" spans="1:19" ht="16.5" thickTop="1" thickBot="1" x14ac:dyDescent="0.25">
      <c r="A99" s="185"/>
      <c r="B99" s="186"/>
      <c r="C99" s="187"/>
      <c r="D99" s="202"/>
      <c r="G99" s="179"/>
      <c r="H99" s="196"/>
      <c r="I99" s="203"/>
      <c r="J99" s="205"/>
      <c r="K99" s="206"/>
      <c r="L99" s="205"/>
      <c r="M99" s="205"/>
      <c r="N99" s="205"/>
      <c r="O99" s="222"/>
      <c r="P99" s="179"/>
      <c r="Q99" s="194"/>
      <c r="R99" s="186"/>
      <c r="S99" s="179"/>
    </row>
    <row r="100" spans="1:19" ht="16.5" thickTop="1" thickBot="1" x14ac:dyDescent="0.25">
      <c r="A100" s="185">
        <v>8</v>
      </c>
      <c r="B100" s="186" t="s">
        <v>1201</v>
      </c>
      <c r="C100" s="187" t="s">
        <v>1202</v>
      </c>
      <c r="D100" s="202" t="s">
        <v>1131</v>
      </c>
      <c r="G100" s="179"/>
      <c r="H100" s="286">
        <v>8</v>
      </c>
      <c r="I100" s="287"/>
      <c r="J100" s="288"/>
      <c r="K100" s="289" t="s">
        <v>1202</v>
      </c>
      <c r="L100" s="288"/>
      <c r="M100" s="288"/>
      <c r="N100" s="288"/>
      <c r="O100" s="290" t="s">
        <v>1131</v>
      </c>
      <c r="P100" s="179"/>
      <c r="Q100" s="194">
        <f>H100</f>
        <v>8</v>
      </c>
      <c r="R100" s="184" t="str">
        <f>CONCATENATE("II-",TEXT(Q100,"0000"))</f>
        <v>II-0008</v>
      </c>
      <c r="S100" s="195" t="str">
        <f>K100</f>
        <v>ARIDOS</v>
      </c>
    </row>
    <row r="101" spans="1:19" x14ac:dyDescent="0.2">
      <c r="A101" s="185"/>
      <c r="B101" s="186"/>
      <c r="C101" s="187"/>
      <c r="D101" s="202"/>
      <c r="G101" s="282"/>
      <c r="H101" s="291"/>
      <c r="I101" s="202"/>
      <c r="J101" s="282"/>
      <c r="K101" s="283"/>
      <c r="L101" s="282"/>
      <c r="M101" s="282"/>
      <c r="N101" s="282"/>
      <c r="O101" s="292"/>
      <c r="P101" s="282"/>
      <c r="Q101" s="282"/>
      <c r="R101" s="282"/>
      <c r="S101" s="282"/>
    </row>
    <row r="102" spans="1:19" x14ac:dyDescent="0.2">
      <c r="A102" s="185"/>
      <c r="B102" s="186"/>
      <c r="C102" s="187"/>
      <c r="D102" s="202"/>
      <c r="G102" s="282"/>
      <c r="H102" s="291"/>
      <c r="I102" s="202"/>
      <c r="J102" s="282"/>
      <c r="K102" s="283"/>
      <c r="L102" s="282"/>
      <c r="M102" s="282"/>
      <c r="N102" s="282"/>
      <c r="O102" s="292"/>
      <c r="P102" s="282"/>
      <c r="Q102" s="282"/>
      <c r="R102" s="282"/>
      <c r="S102" s="282"/>
    </row>
    <row r="103" spans="1:19" x14ac:dyDescent="0.2">
      <c r="A103" s="185"/>
      <c r="B103" s="178"/>
      <c r="C103" s="187"/>
      <c r="D103" s="202"/>
      <c r="G103" s="282"/>
      <c r="H103" s="291"/>
      <c r="I103" s="202"/>
      <c r="J103" s="282"/>
      <c r="K103" s="283"/>
      <c r="L103" s="282"/>
      <c r="M103" s="282"/>
      <c r="N103" s="282"/>
      <c r="O103" s="292"/>
      <c r="P103" s="282"/>
      <c r="Q103" s="282"/>
      <c r="R103" s="282"/>
      <c r="S103" s="282"/>
    </row>
    <row r="104" spans="1:19" x14ac:dyDescent="0.2">
      <c r="A104" s="185">
        <v>9</v>
      </c>
      <c r="B104" s="178" t="s">
        <v>1203</v>
      </c>
      <c r="C104" s="187" t="s">
        <v>1204</v>
      </c>
      <c r="D104" s="202"/>
      <c r="G104" s="179"/>
      <c r="H104" s="223">
        <v>9</v>
      </c>
      <c r="I104" s="225"/>
      <c r="J104" s="236"/>
      <c r="K104" s="293" t="s">
        <v>1204</v>
      </c>
      <c r="L104" s="236"/>
      <c r="M104" s="236"/>
      <c r="N104" s="236"/>
      <c r="O104" s="247"/>
      <c r="P104" s="179"/>
      <c r="Q104" s="194">
        <f>H104</f>
        <v>9</v>
      </c>
      <c r="R104" s="184" t="str">
        <f>CONCATENATE("II-",TEXT(Q104,"0000"))</f>
        <v>II-0009</v>
      </c>
      <c r="S104" s="195" t="str">
        <f>K104</f>
        <v>BACHEO DE PAVIMENTO ASFALTICO</v>
      </c>
    </row>
    <row r="105" spans="1:19" x14ac:dyDescent="0.2">
      <c r="A105" s="185"/>
      <c r="B105" s="208"/>
      <c r="C105" s="209"/>
      <c r="D105" s="202"/>
      <c r="G105" s="258"/>
      <c r="H105" s="280"/>
      <c r="I105" s="197" t="s">
        <v>1020</v>
      </c>
      <c r="J105" s="205"/>
      <c r="K105" s="283" t="s">
        <v>1205</v>
      </c>
      <c r="L105" s="205"/>
      <c r="M105" s="205"/>
      <c r="N105" s="205"/>
      <c r="O105" s="238"/>
      <c r="P105" s="258"/>
      <c r="Q105" s="258"/>
      <c r="R105" s="258"/>
      <c r="S105" s="258"/>
    </row>
    <row r="106" spans="1:19" x14ac:dyDescent="0.2">
      <c r="A106" s="185">
        <v>1</v>
      </c>
      <c r="B106" s="186" t="s">
        <v>1206</v>
      </c>
      <c r="C106" s="187" t="s">
        <v>1207</v>
      </c>
      <c r="D106" s="202" t="s">
        <v>1131</v>
      </c>
      <c r="G106" s="258"/>
      <c r="H106" s="280"/>
      <c r="I106" s="202"/>
      <c r="J106" s="294">
        <v>1</v>
      </c>
      <c r="K106" s="283"/>
      <c r="L106" s="283" t="s">
        <v>1208</v>
      </c>
      <c r="M106" s="282"/>
      <c r="N106" s="282"/>
      <c r="O106" s="238" t="s">
        <v>1131</v>
      </c>
      <c r="P106" s="258"/>
      <c r="Q106" s="194">
        <v>1</v>
      </c>
      <c r="R106" s="186" t="str">
        <f>CONCATENATE($R$104,".",TEXT(Q106,"0000"))</f>
        <v>II-0009.0001</v>
      </c>
      <c r="S106" s="179" t="str">
        <f>CONCATENATE($K$105," CON ",L106)</f>
        <v>PROFUNDO CON MATERIAL PETREO Y SUELO</v>
      </c>
    </row>
    <row r="107" spans="1:19" x14ac:dyDescent="0.2">
      <c r="A107" s="185">
        <v>2</v>
      </c>
      <c r="B107" s="186" t="s">
        <v>1209</v>
      </c>
      <c r="C107" s="187" t="s">
        <v>1210</v>
      </c>
      <c r="D107" s="202" t="s">
        <v>1131</v>
      </c>
      <c r="G107" s="258"/>
      <c r="H107" s="280"/>
      <c r="I107" s="202"/>
      <c r="J107" s="294">
        <v>2</v>
      </c>
      <c r="K107" s="283"/>
      <c r="L107" s="283" t="s">
        <v>1211</v>
      </c>
      <c r="M107" s="282"/>
      <c r="N107" s="282"/>
      <c r="O107" s="238" t="s">
        <v>1131</v>
      </c>
      <c r="P107" s="258"/>
      <c r="Q107" s="194">
        <v>2</v>
      </c>
      <c r="R107" s="186" t="str">
        <f t="shared" ref="R107:R111" si="12">CONCATENATE($R$104,".",TEXT(Q107,"0000"))</f>
        <v>II-0009.0002</v>
      </c>
      <c r="S107" s="179" t="str">
        <f t="shared" ref="S107:S111" si="13">CONCATENATE($K$105," CON ",L107)</f>
        <v>PROFUNDO CON MEZCLA ASFALTICA</v>
      </c>
    </row>
    <row r="108" spans="1:19" x14ac:dyDescent="0.2">
      <c r="A108" s="185">
        <v>3</v>
      </c>
      <c r="B108" s="186" t="s">
        <v>1212</v>
      </c>
      <c r="C108" s="187" t="s">
        <v>1213</v>
      </c>
      <c r="D108" s="202" t="s">
        <v>1214</v>
      </c>
      <c r="G108" s="258"/>
      <c r="H108" s="280"/>
      <c r="I108" s="202"/>
      <c r="J108" s="294">
        <v>3</v>
      </c>
      <c r="K108" s="283"/>
      <c r="L108" s="283" t="s">
        <v>1215</v>
      </c>
      <c r="M108" s="282"/>
      <c r="N108" s="282"/>
      <c r="O108" s="238" t="s">
        <v>1214</v>
      </c>
      <c r="P108" s="258"/>
      <c r="Q108" s="194">
        <v>3</v>
      </c>
      <c r="R108" s="186" t="str">
        <f t="shared" si="12"/>
        <v>II-0009.0003</v>
      </c>
      <c r="S108" s="179" t="str">
        <f t="shared" si="13"/>
        <v>PROFUNDO CON SUELO CAL</v>
      </c>
    </row>
    <row r="109" spans="1:19" x14ac:dyDescent="0.2">
      <c r="A109" s="185">
        <v>4</v>
      </c>
      <c r="B109" s="186" t="s">
        <v>1216</v>
      </c>
      <c r="C109" s="187" t="s">
        <v>1217</v>
      </c>
      <c r="D109" s="202" t="s">
        <v>1214</v>
      </c>
      <c r="G109" s="258"/>
      <c r="H109" s="280"/>
      <c r="I109" s="202"/>
      <c r="J109" s="294">
        <v>4</v>
      </c>
      <c r="K109" s="283"/>
      <c r="L109" s="283" t="s">
        <v>1218</v>
      </c>
      <c r="M109" s="282"/>
      <c r="N109" s="282"/>
      <c r="O109" s="238" t="s">
        <v>1214</v>
      </c>
      <c r="P109" s="258"/>
      <c r="Q109" s="194">
        <v>4</v>
      </c>
      <c r="R109" s="186" t="str">
        <f t="shared" si="12"/>
        <v>II-0009.0004</v>
      </c>
      <c r="S109" s="179" t="str">
        <f t="shared" si="13"/>
        <v>PROFUNDO CON SUELO CEMENTO</v>
      </c>
    </row>
    <row r="110" spans="1:19" x14ac:dyDescent="0.2">
      <c r="A110" s="185">
        <v>5</v>
      </c>
      <c r="B110" s="186" t="s">
        <v>1219</v>
      </c>
      <c r="C110" s="187" t="s">
        <v>1220</v>
      </c>
      <c r="D110" s="202" t="s">
        <v>1214</v>
      </c>
      <c r="G110" s="258"/>
      <c r="H110" s="280"/>
      <c r="I110" s="202"/>
      <c r="J110" s="294">
        <v>5</v>
      </c>
      <c r="K110" s="283"/>
      <c r="L110" s="283" t="s">
        <v>1221</v>
      </c>
      <c r="M110" s="282"/>
      <c r="N110" s="282"/>
      <c r="O110" s="238" t="s">
        <v>1214</v>
      </c>
      <c r="P110" s="258"/>
      <c r="Q110" s="194">
        <v>5</v>
      </c>
      <c r="R110" s="186" t="str">
        <f t="shared" si="12"/>
        <v>II-0009.0005</v>
      </c>
      <c r="S110" s="179" t="str">
        <f t="shared" si="13"/>
        <v>PROFUNDO CON SUELO SELECCIONADO</v>
      </c>
    </row>
    <row r="111" spans="1:19" x14ac:dyDescent="0.2">
      <c r="A111" s="185">
        <v>6</v>
      </c>
      <c r="B111" s="186" t="s">
        <v>1222</v>
      </c>
      <c r="C111" s="187" t="s">
        <v>1223</v>
      </c>
      <c r="D111" s="202" t="s">
        <v>1214</v>
      </c>
      <c r="G111" s="258"/>
      <c r="H111" s="280"/>
      <c r="I111" s="260"/>
      <c r="J111" s="295">
        <v>6</v>
      </c>
      <c r="K111" s="296"/>
      <c r="L111" s="296" t="s">
        <v>1224</v>
      </c>
      <c r="M111" s="297"/>
      <c r="N111" s="297"/>
      <c r="O111" s="257" t="s">
        <v>1214</v>
      </c>
      <c r="P111" s="258"/>
      <c r="Q111" s="194">
        <v>6</v>
      </c>
      <c r="R111" s="186" t="str">
        <f t="shared" si="12"/>
        <v>II-0009.0006</v>
      </c>
      <c r="S111" s="179" t="str">
        <f t="shared" si="13"/>
        <v>PROFUNDO CON SUELO TRATADO C / CAL</v>
      </c>
    </row>
    <row r="112" spans="1:19" x14ac:dyDescent="0.2">
      <c r="A112" s="185"/>
      <c r="B112" s="187"/>
      <c r="C112" s="187"/>
      <c r="D112" s="202"/>
      <c r="G112" s="258"/>
      <c r="H112" s="280"/>
      <c r="I112" s="298" t="s">
        <v>1047</v>
      </c>
      <c r="J112" s="282"/>
      <c r="K112" s="283" t="s">
        <v>1225</v>
      </c>
      <c r="L112" s="282"/>
      <c r="M112" s="282"/>
      <c r="N112" s="282"/>
      <c r="O112" s="269"/>
      <c r="P112" s="258"/>
      <c r="Q112" s="258"/>
      <c r="R112" s="258"/>
      <c r="S112" s="258"/>
    </row>
    <row r="113" spans="1:19" ht="15.75" thickBot="1" x14ac:dyDescent="0.25">
      <c r="A113" s="185">
        <v>10</v>
      </c>
      <c r="B113" s="178" t="s">
        <v>1226</v>
      </c>
      <c r="C113" s="187" t="s">
        <v>1227</v>
      </c>
      <c r="D113" s="202" t="s">
        <v>1131</v>
      </c>
      <c r="G113" s="258"/>
      <c r="H113" s="299"/>
      <c r="I113" s="300"/>
      <c r="J113" s="301">
        <v>2</v>
      </c>
      <c r="K113" s="302"/>
      <c r="L113" s="302" t="s">
        <v>1211</v>
      </c>
      <c r="M113" s="303"/>
      <c r="N113" s="303"/>
      <c r="O113" s="304" t="s">
        <v>1131</v>
      </c>
      <c r="P113" s="258"/>
      <c r="Q113" s="194">
        <v>10</v>
      </c>
      <c r="R113" s="186" t="str">
        <f>CONCATENATE($R$104,".",TEXT(Q113,"0000"))</f>
        <v>II-0009.0010</v>
      </c>
      <c r="S113" s="179" t="str">
        <f>CONCATENATE($K$112," CON ",L113)</f>
        <v>SUPERFICIAL CON MEZCLA ASFALTICA</v>
      </c>
    </row>
    <row r="114" spans="1:19" ht="15.75" thickTop="1" x14ac:dyDescent="0.2">
      <c r="A114" s="185"/>
      <c r="B114" s="208"/>
      <c r="C114" s="209"/>
      <c r="D114" s="202"/>
      <c r="G114" s="258"/>
      <c r="H114" s="280"/>
      <c r="I114" s="202"/>
      <c r="J114" s="202"/>
      <c r="K114" s="283"/>
      <c r="L114" s="283"/>
      <c r="M114" s="282"/>
      <c r="N114" s="282"/>
      <c r="O114" s="238"/>
      <c r="P114" s="258"/>
      <c r="Q114" s="194"/>
      <c r="R114" s="186"/>
      <c r="S114" s="179"/>
    </row>
    <row r="115" spans="1:19" x14ac:dyDescent="0.2">
      <c r="A115" s="185">
        <v>10</v>
      </c>
      <c r="B115" s="186" t="s">
        <v>1228</v>
      </c>
      <c r="C115" s="187" t="s">
        <v>1229</v>
      </c>
      <c r="D115" s="202"/>
      <c r="G115" s="179"/>
      <c r="H115" s="223">
        <v>10</v>
      </c>
      <c r="I115" s="225"/>
      <c r="J115" s="236"/>
      <c r="K115" s="293" t="s">
        <v>1229</v>
      </c>
      <c r="L115" s="236"/>
      <c r="M115" s="236"/>
      <c r="N115" s="236"/>
      <c r="O115" s="247"/>
      <c r="P115" s="179"/>
      <c r="Q115" s="194">
        <f>H115</f>
        <v>10</v>
      </c>
      <c r="R115" s="184" t="str">
        <f>CONCATENATE("II-",TEXT(Q115,"0000"))</f>
        <v>II-0010</v>
      </c>
      <c r="S115" s="195" t="str">
        <f>K115</f>
        <v>BADEN</v>
      </c>
    </row>
    <row r="116" spans="1:19" x14ac:dyDescent="0.2">
      <c r="A116" s="185"/>
      <c r="B116" s="186"/>
      <c r="C116" s="187"/>
      <c r="D116" s="202"/>
      <c r="G116" s="179"/>
      <c r="H116" s="196"/>
      <c r="I116" s="197" t="s">
        <v>1020</v>
      </c>
      <c r="J116" s="205"/>
      <c r="K116" s="206" t="s">
        <v>1230</v>
      </c>
      <c r="L116" s="205"/>
      <c r="M116" s="205"/>
      <c r="N116" s="205"/>
      <c r="O116" s="238"/>
      <c r="P116" s="179"/>
      <c r="Q116" s="179"/>
      <c r="R116" s="179"/>
      <c r="S116" s="179"/>
    </row>
    <row r="117" spans="1:19" x14ac:dyDescent="0.2">
      <c r="A117" s="185">
        <v>1</v>
      </c>
      <c r="B117" s="186" t="s">
        <v>1231</v>
      </c>
      <c r="C117" s="187" t="s">
        <v>1232</v>
      </c>
      <c r="D117" s="202" t="s">
        <v>1131</v>
      </c>
      <c r="G117" s="179"/>
      <c r="H117" s="196"/>
      <c r="I117" s="203"/>
      <c r="J117" s="204">
        <v>1</v>
      </c>
      <c r="K117" s="205"/>
      <c r="L117" s="206" t="s">
        <v>1233</v>
      </c>
      <c r="M117" s="205"/>
      <c r="N117" s="205"/>
      <c r="O117" s="238" t="s">
        <v>1131</v>
      </c>
      <c r="P117" s="179"/>
      <c r="Q117" s="194">
        <v>1</v>
      </c>
      <c r="R117" s="186" t="str">
        <f>CONCATENATE($R$115,".",TEXT(Q117,"0000"))</f>
        <v>II-0010.0001</v>
      </c>
      <c r="S117" s="179" t="str">
        <f>CONCATENATE($K$116," - TIPO ",L117)</f>
        <v>Hº  SIMPLE - TIPO A-2862</v>
      </c>
    </row>
    <row r="118" spans="1:19" x14ac:dyDescent="0.2">
      <c r="A118" s="185">
        <v>2</v>
      </c>
      <c r="B118" s="186" t="s">
        <v>1234</v>
      </c>
      <c r="C118" s="187" t="s">
        <v>1235</v>
      </c>
      <c r="D118" s="202" t="s">
        <v>1131</v>
      </c>
      <c r="G118" s="179"/>
      <c r="H118" s="196"/>
      <c r="I118" s="203"/>
      <c r="J118" s="210">
        <v>2</v>
      </c>
      <c r="K118" s="211"/>
      <c r="L118" s="212" t="s">
        <v>1236</v>
      </c>
      <c r="M118" s="211"/>
      <c r="N118" s="211"/>
      <c r="O118" s="257" t="s">
        <v>1131</v>
      </c>
      <c r="P118" s="179"/>
      <c r="Q118" s="194">
        <v>2</v>
      </c>
      <c r="R118" s="186" t="str">
        <f>CONCATENATE($R$115,".",TEXT(Q118,"0000"))</f>
        <v>II-0010.0002</v>
      </c>
      <c r="S118" s="179" t="str">
        <f>CONCATENATE($K$116," - TIPO ",L118)</f>
        <v>Hº  SIMPLE - TIPO H-8621</v>
      </c>
    </row>
    <row r="119" spans="1:19" x14ac:dyDescent="0.2">
      <c r="A119" s="185"/>
      <c r="B119" s="186"/>
      <c r="C119" s="187"/>
      <c r="D119" s="202"/>
      <c r="G119" s="179"/>
      <c r="H119" s="196"/>
      <c r="I119" s="197" t="s">
        <v>1047</v>
      </c>
      <c r="J119" s="205"/>
      <c r="K119" s="206" t="s">
        <v>1237</v>
      </c>
      <c r="L119" s="205"/>
      <c r="M119" s="205"/>
      <c r="N119" s="205"/>
      <c r="O119" s="238"/>
      <c r="P119" s="179"/>
      <c r="Q119" s="179"/>
      <c r="R119" s="179"/>
      <c r="S119" s="179"/>
    </row>
    <row r="120" spans="1:19" x14ac:dyDescent="0.2">
      <c r="A120" s="185">
        <v>10</v>
      </c>
      <c r="B120" s="186" t="s">
        <v>1238</v>
      </c>
      <c r="C120" s="187" t="s">
        <v>1239</v>
      </c>
      <c r="D120" s="202" t="s">
        <v>1131</v>
      </c>
      <c r="G120" s="179"/>
      <c r="H120" s="196"/>
      <c r="I120" s="215"/>
      <c r="J120" s="210">
        <v>1</v>
      </c>
      <c r="K120" s="211"/>
      <c r="L120" s="212" t="s">
        <v>1240</v>
      </c>
      <c r="M120" s="211"/>
      <c r="N120" s="211"/>
      <c r="O120" s="257" t="s">
        <v>1131</v>
      </c>
      <c r="P120" s="179"/>
      <c r="Q120" s="194">
        <v>10</v>
      </c>
      <c r="R120" s="186" t="str">
        <f>CONCATENATE($R$115,".",TEXT(Q120,"0000"))</f>
        <v>II-0010.0010</v>
      </c>
      <c r="S120" s="179" t="str">
        <f>CONCATENATE($K$119," - TIPO ",L120)</f>
        <v>Hº ARMADO - TIPO V-331</v>
      </c>
    </row>
    <row r="121" spans="1:19" ht="15.75" thickBot="1" x14ac:dyDescent="0.25">
      <c r="A121" s="185"/>
      <c r="B121" s="186"/>
      <c r="C121" s="187"/>
      <c r="D121" s="202" t="s">
        <v>1131</v>
      </c>
      <c r="G121" s="179"/>
      <c r="H121" s="216"/>
      <c r="I121" s="218" t="s">
        <v>1057</v>
      </c>
      <c r="J121" s="219"/>
      <c r="K121" s="220" t="s">
        <v>1048</v>
      </c>
      <c r="L121" s="219"/>
      <c r="M121" s="219"/>
      <c r="N121" s="219"/>
      <c r="O121" s="304" t="s">
        <v>1131</v>
      </c>
      <c r="P121" s="179"/>
      <c r="Q121" s="179"/>
      <c r="R121" s="179"/>
      <c r="S121" s="179"/>
    </row>
    <row r="122" spans="1:19" ht="15.75" thickTop="1" x14ac:dyDescent="0.2">
      <c r="A122" s="185">
        <v>11</v>
      </c>
      <c r="B122" s="186" t="s">
        <v>1241</v>
      </c>
      <c r="C122" s="187" t="s">
        <v>1242</v>
      </c>
      <c r="D122" s="202"/>
      <c r="G122" s="179"/>
      <c r="H122" s="223">
        <v>11</v>
      </c>
      <c r="I122" s="225"/>
      <c r="J122" s="236"/>
      <c r="K122" s="293" t="s">
        <v>1242</v>
      </c>
      <c r="L122" s="236"/>
      <c r="M122" s="236"/>
      <c r="N122" s="236"/>
      <c r="O122" s="247"/>
      <c r="P122" s="179"/>
      <c r="Q122" s="194">
        <f>H122</f>
        <v>11</v>
      </c>
      <c r="R122" s="184" t="str">
        <f>CONCATENATE("II-",TEXT(Q122,"0000"))</f>
        <v>II-0011</v>
      </c>
      <c r="S122" s="195" t="str">
        <f>K122</f>
        <v>BAJADA DE AGUA</v>
      </c>
    </row>
    <row r="123" spans="1:19" x14ac:dyDescent="0.2">
      <c r="A123" s="185">
        <v>1</v>
      </c>
      <c r="B123" s="186" t="s">
        <v>1243</v>
      </c>
      <c r="C123" s="187" t="s">
        <v>1244</v>
      </c>
      <c r="D123" s="202" t="s">
        <v>996</v>
      </c>
      <c r="G123" s="179"/>
      <c r="H123" s="237"/>
      <c r="I123" s="197" t="s">
        <v>1020</v>
      </c>
      <c r="J123" s="244"/>
      <c r="K123" s="265" t="s">
        <v>1244</v>
      </c>
      <c r="L123" s="244"/>
      <c r="M123" s="244"/>
      <c r="N123" s="244"/>
      <c r="O123" s="279" t="s">
        <v>996</v>
      </c>
      <c r="P123" s="179"/>
      <c r="Q123" s="194">
        <v>1</v>
      </c>
      <c r="R123" s="186" t="str">
        <f>CONCATENATE($R$122,".",TEXT(Q123,"0000"))</f>
        <v>II-0011.0001</v>
      </c>
      <c r="S123" s="179" t="str">
        <f>CONCATENATE($K$123)</f>
        <v>METALICA</v>
      </c>
    </row>
    <row r="124" spans="1:19" x14ac:dyDescent="0.2">
      <c r="A124" s="185"/>
      <c r="B124" s="186"/>
      <c r="C124" s="187"/>
      <c r="D124" s="202"/>
      <c r="G124" s="179"/>
      <c r="H124" s="196"/>
      <c r="I124" s="197" t="s">
        <v>1047</v>
      </c>
      <c r="J124" s="205"/>
      <c r="K124" s="206" t="s">
        <v>1245</v>
      </c>
      <c r="L124" s="205"/>
      <c r="M124" s="205"/>
      <c r="N124" s="205"/>
      <c r="O124" s="238"/>
      <c r="P124" s="179"/>
      <c r="Q124" s="179"/>
      <c r="R124" s="179"/>
      <c r="S124" s="179"/>
    </row>
    <row r="125" spans="1:19" x14ac:dyDescent="0.2">
      <c r="A125" s="185">
        <v>10</v>
      </c>
      <c r="B125" s="186" t="s">
        <v>1246</v>
      </c>
      <c r="C125" s="187" t="s">
        <v>1247</v>
      </c>
      <c r="D125" s="202" t="s">
        <v>1248</v>
      </c>
      <c r="G125" s="179"/>
      <c r="H125" s="196"/>
      <c r="I125" s="203"/>
      <c r="J125" s="204">
        <v>1</v>
      </c>
      <c r="K125" s="205"/>
      <c r="L125" s="206" t="s">
        <v>1249</v>
      </c>
      <c r="M125" s="205"/>
      <c r="N125" s="205"/>
      <c r="O125" s="238" t="s">
        <v>1248</v>
      </c>
      <c r="P125" s="179"/>
      <c r="Q125" s="194">
        <v>10</v>
      </c>
      <c r="R125" s="186" t="str">
        <f>CONCATENATE($R$122,".",TEXT(Q125,"0000"))</f>
        <v>II-0011.0010</v>
      </c>
      <c r="S125" s="179" t="str">
        <f>CONCATENATE($K$124," - TIPO ",L125)</f>
        <v>HORMIGON - TIPO H-8558</v>
      </c>
    </row>
    <row r="126" spans="1:19" x14ac:dyDescent="0.2">
      <c r="A126" s="185">
        <v>11</v>
      </c>
      <c r="B126" s="186" t="s">
        <v>1250</v>
      </c>
      <c r="C126" s="187" t="s">
        <v>1251</v>
      </c>
      <c r="D126" s="202" t="s">
        <v>1248</v>
      </c>
      <c r="G126" s="179"/>
      <c r="H126" s="196"/>
      <c r="I126" s="203"/>
      <c r="J126" s="204">
        <v>2</v>
      </c>
      <c r="K126" s="205"/>
      <c r="L126" s="206" t="s">
        <v>1252</v>
      </c>
      <c r="M126" s="205"/>
      <c r="N126" s="205"/>
      <c r="O126" s="238" t="s">
        <v>1248</v>
      </c>
      <c r="P126" s="179"/>
      <c r="Q126" s="194">
        <v>11</v>
      </c>
      <c r="R126" s="186" t="str">
        <f>CONCATENATE($R$122,".",TEXT(Q126,"0000"))</f>
        <v>II-0011.0011</v>
      </c>
      <c r="S126" s="179" t="str">
        <f t="shared" ref="S126:S127" si="14">CONCATENATE($K$124," - TIPO ",L126)</f>
        <v>HORMIGON - TIPO H-2350</v>
      </c>
    </row>
    <row r="127" spans="1:19" x14ac:dyDescent="0.2">
      <c r="A127" s="185">
        <v>12</v>
      </c>
      <c r="B127" s="186" t="s">
        <v>1253</v>
      </c>
      <c r="C127" s="187" t="s">
        <v>1254</v>
      </c>
      <c r="D127" s="202" t="s">
        <v>1248</v>
      </c>
      <c r="G127" s="179"/>
      <c r="H127" s="196"/>
      <c r="I127" s="203"/>
      <c r="J127" s="210">
        <v>3</v>
      </c>
      <c r="K127" s="205"/>
      <c r="L127" s="206" t="s">
        <v>1255</v>
      </c>
      <c r="M127" s="205"/>
      <c r="N127" s="205"/>
      <c r="O127" s="238" t="s">
        <v>1248</v>
      </c>
      <c r="P127" s="179"/>
      <c r="Q127" s="194">
        <v>12</v>
      </c>
      <c r="R127" s="186" t="str">
        <f>CONCATENATE($R$122,".",TEXT(Q127,"0000"))</f>
        <v>II-0011.0012</v>
      </c>
      <c r="S127" s="179" t="str">
        <f t="shared" si="14"/>
        <v>HORMIGON - TIPO H-7691</v>
      </c>
    </row>
    <row r="128" spans="1:19" x14ac:dyDescent="0.2">
      <c r="A128" s="185">
        <v>12</v>
      </c>
      <c r="B128" s="178" t="s">
        <v>1253</v>
      </c>
      <c r="C128" s="187" t="s">
        <v>1089</v>
      </c>
      <c r="D128" s="202" t="s">
        <v>1256</v>
      </c>
      <c r="G128" s="179"/>
      <c r="H128" s="196"/>
      <c r="I128" s="197" t="s">
        <v>1057</v>
      </c>
      <c r="J128" s="244"/>
      <c r="K128" s="265" t="s">
        <v>1089</v>
      </c>
      <c r="L128" s="244"/>
      <c r="M128" s="244"/>
      <c r="N128" s="244"/>
      <c r="O128" s="279" t="s">
        <v>1256</v>
      </c>
      <c r="P128" s="179"/>
      <c r="Q128" s="194">
        <v>12</v>
      </c>
      <c r="R128" s="186" t="str">
        <f>CONCATENATE($R$122,".",TEXT(Q128,"0000"))</f>
        <v>II-0011.0012</v>
      </c>
      <c r="S128" s="179" t="str">
        <f>CONCATENATE($K$128)</f>
        <v>RETIRO</v>
      </c>
    </row>
    <row r="129" spans="1:19" ht="15.75" thickBot="1" x14ac:dyDescent="0.25">
      <c r="A129" s="185">
        <v>12</v>
      </c>
      <c r="B129" s="178" t="s">
        <v>1253</v>
      </c>
      <c r="C129" s="187" t="s">
        <v>1257</v>
      </c>
      <c r="D129" s="202" t="s">
        <v>1256</v>
      </c>
      <c r="G129" s="179"/>
      <c r="H129" s="216"/>
      <c r="I129" s="228" t="s">
        <v>1083</v>
      </c>
      <c r="J129" s="231"/>
      <c r="K129" s="267" t="s">
        <v>1257</v>
      </c>
      <c r="L129" s="231"/>
      <c r="M129" s="231"/>
      <c r="N129" s="231"/>
      <c r="O129" s="305" t="s">
        <v>1256</v>
      </c>
      <c r="P129" s="179"/>
      <c r="Q129" s="194">
        <v>12</v>
      </c>
      <c r="R129" s="186" t="str">
        <f>CONCATENATE($R$122,".",TEXT(Q129,"0000"))</f>
        <v>II-0011.0012</v>
      </c>
      <c r="S129" s="179" t="str">
        <f>CONCATENATE($K$129)</f>
        <v>RETIRO,REPARACION, RECOLOCACION</v>
      </c>
    </row>
    <row r="130" spans="1:19" ht="15.75" thickTop="1" x14ac:dyDescent="0.2">
      <c r="A130" s="185"/>
      <c r="B130" s="208"/>
      <c r="C130" s="209"/>
      <c r="D130" s="202"/>
      <c r="G130" s="179"/>
      <c r="H130" s="196"/>
      <c r="I130" s="203"/>
      <c r="J130" s="205"/>
      <c r="K130" s="206"/>
      <c r="L130" s="205"/>
      <c r="M130" s="205"/>
      <c r="N130" s="205"/>
      <c r="O130" s="238"/>
      <c r="P130" s="179"/>
      <c r="Q130" s="179"/>
      <c r="R130" s="179"/>
      <c r="S130" s="179"/>
    </row>
    <row r="131" spans="1:19" x14ac:dyDescent="0.2">
      <c r="A131" s="185">
        <v>12</v>
      </c>
      <c r="B131" s="186" t="s">
        <v>1258</v>
      </c>
      <c r="C131" s="187" t="s">
        <v>1259</v>
      </c>
      <c r="D131" s="202"/>
      <c r="G131" s="179"/>
      <c r="H131" s="223">
        <v>12</v>
      </c>
      <c r="I131" s="225"/>
      <c r="J131" s="236"/>
      <c r="K131" s="293" t="s">
        <v>1259</v>
      </c>
      <c r="L131" s="236"/>
      <c r="M131" s="236"/>
      <c r="N131" s="236"/>
      <c r="O131" s="247"/>
      <c r="P131" s="179"/>
      <c r="Q131" s="194">
        <f>H131</f>
        <v>12</v>
      </c>
      <c r="R131" s="184" t="str">
        <f>CONCATENATE("II-",TEXT(Q131,"0000"))</f>
        <v>II-0012</v>
      </c>
      <c r="S131" s="195" t="str">
        <f>K131</f>
        <v>BANQUINA</v>
      </c>
    </row>
    <row r="132" spans="1:19" x14ac:dyDescent="0.2">
      <c r="A132" s="185">
        <v>1</v>
      </c>
      <c r="B132" s="186" t="str">
        <f>CONCATENATE($B$131,".",TEXT(A132,"0000"))</f>
        <v>II-0012.0001</v>
      </c>
      <c r="C132" s="179" t="str">
        <f>CONCATENATE($K$132)</f>
        <v xml:space="preserve">SUELO </v>
      </c>
      <c r="D132" s="202" t="s">
        <v>1131</v>
      </c>
      <c r="G132" s="179"/>
      <c r="H132" s="196"/>
      <c r="I132" s="197" t="s">
        <v>1020</v>
      </c>
      <c r="J132" s="244"/>
      <c r="K132" s="265" t="s">
        <v>1260</v>
      </c>
      <c r="L132" s="244"/>
      <c r="M132" s="244"/>
      <c r="N132" s="244"/>
      <c r="O132" s="279" t="s">
        <v>1131</v>
      </c>
      <c r="P132" s="179"/>
      <c r="Q132" s="194">
        <v>1</v>
      </c>
      <c r="R132" s="186" t="str">
        <f>CONCATENATE($L$131,".",TEXT(Q132,"0000"))</f>
        <v>.0001</v>
      </c>
      <c r="S132" s="179" t="str">
        <f>CONCATENATE($E$132)</f>
        <v/>
      </c>
    </row>
    <row r="133" spans="1:19" x14ac:dyDescent="0.2">
      <c r="A133" s="185">
        <v>2</v>
      </c>
      <c r="B133" s="186" t="str">
        <f>CONCATENATE($B$131,".",TEXT(A133,"0000"))</f>
        <v>II-0012.0002</v>
      </c>
      <c r="C133" s="179" t="str">
        <f>CONCATENATE($K$132)</f>
        <v xml:space="preserve">SUELO </v>
      </c>
      <c r="D133" s="202" t="s">
        <v>1131</v>
      </c>
      <c r="G133" s="179"/>
      <c r="H133" s="196"/>
      <c r="I133" s="197" t="s">
        <v>1047</v>
      </c>
      <c r="J133" s="244"/>
      <c r="K133" s="265" t="s">
        <v>1261</v>
      </c>
      <c r="L133" s="244"/>
      <c r="M133" s="244"/>
      <c r="N133" s="244"/>
      <c r="O133" s="279" t="s">
        <v>1131</v>
      </c>
      <c r="P133" s="179"/>
      <c r="Q133" s="194">
        <v>2</v>
      </c>
      <c r="R133" s="186" t="str">
        <f>CONCATENATE($L$131,".",TEXT(Q133,"0000"))</f>
        <v>.0002</v>
      </c>
      <c r="S133" s="179" t="str">
        <f>CONCATENATE($E$133)</f>
        <v/>
      </c>
    </row>
    <row r="134" spans="1:19" x14ac:dyDescent="0.2">
      <c r="A134" s="185"/>
      <c r="B134" s="187"/>
      <c r="C134" s="187"/>
      <c r="D134" s="202"/>
      <c r="G134" s="179"/>
      <c r="H134" s="196"/>
      <c r="I134" s="197" t="s">
        <v>1057</v>
      </c>
      <c r="J134" s="205"/>
      <c r="K134" s="206" t="s">
        <v>1262</v>
      </c>
      <c r="L134" s="205"/>
      <c r="M134" s="205"/>
      <c r="N134" s="205"/>
      <c r="O134" s="238"/>
      <c r="P134" s="179"/>
      <c r="Q134" s="179"/>
      <c r="R134" s="179"/>
      <c r="S134" s="179"/>
    </row>
    <row r="135" spans="1:19" x14ac:dyDescent="0.2">
      <c r="A135" s="185">
        <v>3</v>
      </c>
      <c r="B135" s="186" t="str">
        <f t="shared" ref="B135:B136" si="15">CONCATENATE($B$131,".",TEXT(A135,"0000"))</f>
        <v>II-0012.0003</v>
      </c>
      <c r="C135" s="179" t="str">
        <f>CONCATENATE($K$134," - TIPO ",L135)</f>
        <v xml:space="preserve">PAVIMENTO - TIPO CARPETA </v>
      </c>
      <c r="D135" s="202" t="s">
        <v>1214</v>
      </c>
      <c r="G135" s="179"/>
      <c r="H135" s="196"/>
      <c r="I135" s="203"/>
      <c r="J135" s="204">
        <v>1</v>
      </c>
      <c r="K135" s="205"/>
      <c r="L135" s="206" t="s">
        <v>1263</v>
      </c>
      <c r="M135" s="205"/>
      <c r="N135" s="205"/>
      <c r="O135" s="238" t="s">
        <v>1214</v>
      </c>
      <c r="P135" s="179"/>
      <c r="Q135" s="194">
        <v>3</v>
      </c>
      <c r="R135" s="186" t="str">
        <f t="shared" ref="R135:R136" si="16">CONCATENATE($L$131,".",TEXT(Q135,"0000"))</f>
        <v>.0003</v>
      </c>
      <c r="S135" s="179" t="str">
        <f>CONCATENATE($E$134," TIPO ",L135)</f>
        <v xml:space="preserve"> TIPO CARPETA </v>
      </c>
    </row>
    <row r="136" spans="1:19" ht="15.75" thickBot="1" x14ac:dyDescent="0.25">
      <c r="A136" s="185">
        <v>4</v>
      </c>
      <c r="B136" s="186" t="str">
        <f t="shared" si="15"/>
        <v>II-0012.0004</v>
      </c>
      <c r="C136" s="179" t="str">
        <f>CONCATENATE($K$134," - TIPO ",L136)</f>
        <v>PAVIMENTO - TIPO TRATAMIENTO</v>
      </c>
      <c r="D136" s="202" t="s">
        <v>1214</v>
      </c>
      <c r="G136" s="179"/>
      <c r="H136" s="216"/>
      <c r="I136" s="217"/>
      <c r="J136" s="218">
        <v>2</v>
      </c>
      <c r="K136" s="219"/>
      <c r="L136" s="220" t="s">
        <v>1264</v>
      </c>
      <c r="M136" s="219"/>
      <c r="N136" s="219"/>
      <c r="O136" s="304" t="s">
        <v>1214</v>
      </c>
      <c r="P136" s="179"/>
      <c r="Q136" s="194">
        <v>4</v>
      </c>
      <c r="R136" s="186" t="str">
        <f t="shared" si="16"/>
        <v>.0004</v>
      </c>
      <c r="S136" s="179" t="str">
        <f>CONCATENATE($E$134," TIPO ",L136)</f>
        <v xml:space="preserve"> TIPO TRATAMIENTO</v>
      </c>
    </row>
    <row r="137" spans="1:19" ht="15.75" thickTop="1" x14ac:dyDescent="0.2">
      <c r="A137" s="185"/>
      <c r="B137" s="186"/>
      <c r="C137" s="187"/>
      <c r="D137" s="202"/>
      <c r="G137" s="179"/>
      <c r="H137" s="196"/>
      <c r="I137" s="203"/>
      <c r="J137" s="203"/>
      <c r="K137" s="205"/>
      <c r="L137" s="206"/>
      <c r="M137" s="205"/>
      <c r="N137" s="205"/>
      <c r="O137" s="238"/>
      <c r="P137" s="179"/>
      <c r="Q137" s="194"/>
      <c r="R137" s="179"/>
      <c r="S137" s="179"/>
    </row>
    <row r="138" spans="1:19" x14ac:dyDescent="0.2">
      <c r="A138" s="185">
        <v>13</v>
      </c>
      <c r="B138" s="186" t="s">
        <v>1265</v>
      </c>
      <c r="C138" s="187" t="s">
        <v>1266</v>
      </c>
      <c r="D138" s="202"/>
      <c r="G138" s="179"/>
      <c r="H138" s="223">
        <v>13</v>
      </c>
      <c r="I138" s="225"/>
      <c r="J138" s="236"/>
      <c r="K138" s="293" t="s">
        <v>1266</v>
      </c>
      <c r="L138" s="236"/>
      <c r="M138" s="236"/>
      <c r="N138" s="236"/>
      <c r="O138" s="247"/>
      <c r="P138" s="179"/>
      <c r="Q138" s="194">
        <f>H138</f>
        <v>13</v>
      </c>
      <c r="R138" s="184" t="str">
        <f>CONCATENATE("II-",TEXT(Q138,"0000"))</f>
        <v>II-0013</v>
      </c>
      <c r="S138" s="195" t="str">
        <f>K138</f>
        <v>BARANDA METALICA DE DEFENSA</v>
      </c>
    </row>
    <row r="139" spans="1:19" x14ac:dyDescent="0.2">
      <c r="A139" s="185"/>
      <c r="B139" s="186"/>
      <c r="C139" s="187"/>
      <c r="D139" s="202"/>
      <c r="G139" s="179"/>
      <c r="H139" s="237"/>
      <c r="I139" s="197" t="s">
        <v>1020</v>
      </c>
      <c r="J139" s="205"/>
      <c r="K139" s="206" t="s">
        <v>1267</v>
      </c>
      <c r="L139" s="200"/>
      <c r="M139" s="200"/>
      <c r="N139" s="200"/>
      <c r="O139" s="248"/>
      <c r="P139" s="179"/>
      <c r="Q139" s="179"/>
      <c r="R139" s="179"/>
      <c r="S139" s="179"/>
    </row>
    <row r="140" spans="1:19" x14ac:dyDescent="0.2">
      <c r="A140" s="185">
        <v>1</v>
      </c>
      <c r="B140" s="186" t="str">
        <f>CONCATENATE($B$138,".",TEXT(A140,"0000"))</f>
        <v>II-0013.0001</v>
      </c>
      <c r="C140" s="179" t="str">
        <f>CONCATENATE($K$139," - TIPO ",L140)</f>
        <v>VEHICULAR  H-10237 - TIPO LIVIANA  ( A )</v>
      </c>
      <c r="D140" s="202" t="s">
        <v>996</v>
      </c>
      <c r="G140" s="179"/>
      <c r="H140" s="196"/>
      <c r="I140" s="203"/>
      <c r="J140" s="204">
        <v>1</v>
      </c>
      <c r="K140" s="205"/>
      <c r="L140" s="206" t="s">
        <v>1268</v>
      </c>
      <c r="M140" s="205"/>
      <c r="N140" s="205"/>
      <c r="O140" s="238" t="s">
        <v>996</v>
      </c>
      <c r="P140" s="179"/>
      <c r="Q140" s="194">
        <v>1</v>
      </c>
      <c r="R140" s="186" t="str">
        <f>CONCATENATE($L$138,".",TEXT(Q140,"0000"))</f>
        <v>.0001</v>
      </c>
      <c r="S140" s="179" t="str">
        <f>CONCATENATE($E$139," TIPO ",L140)</f>
        <v xml:space="preserve"> TIPO LIVIANA  ( A )</v>
      </c>
    </row>
    <row r="141" spans="1:19" x14ac:dyDescent="0.2">
      <c r="A141" s="185">
        <v>2</v>
      </c>
      <c r="B141" s="186" t="str">
        <f>CONCATENATE($B$138,".",TEXT(A141,"0000"))</f>
        <v>II-0013.0002</v>
      </c>
      <c r="C141" s="179" t="str">
        <f>CONCATENATE($K$139," - TIPO ",L141)</f>
        <v>VEHICULAR  H-10237 - TIPO PESADA ( B )</v>
      </c>
      <c r="D141" s="202" t="s">
        <v>996</v>
      </c>
      <c r="G141" s="179"/>
      <c r="H141" s="196"/>
      <c r="I141" s="203"/>
      <c r="J141" s="210">
        <v>2</v>
      </c>
      <c r="K141" s="211"/>
      <c r="L141" s="212" t="s">
        <v>1269</v>
      </c>
      <c r="M141" s="211"/>
      <c r="N141" s="211"/>
      <c r="O141" s="257" t="s">
        <v>996</v>
      </c>
      <c r="P141" s="179"/>
      <c r="Q141" s="194">
        <v>2</v>
      </c>
      <c r="R141" s="186" t="str">
        <f>CONCATENATE($L$138,".",TEXT(Q141,"0000"))</f>
        <v>.0002</v>
      </c>
      <c r="S141" s="179" t="str">
        <f>CONCATENATE($E$139," TIPO ",L141)</f>
        <v xml:space="preserve"> TIPO PESADA ( B )</v>
      </c>
    </row>
    <row r="142" spans="1:19" x14ac:dyDescent="0.2">
      <c r="A142" s="185"/>
      <c r="B142" s="186"/>
      <c r="C142" s="187"/>
      <c r="D142" s="202" t="s">
        <v>996</v>
      </c>
      <c r="G142" s="179"/>
      <c r="H142" s="196"/>
      <c r="I142" s="197" t="s">
        <v>1047</v>
      </c>
      <c r="J142" s="205"/>
      <c r="K142" s="206" t="s">
        <v>1270</v>
      </c>
      <c r="L142" s="205"/>
      <c r="M142" s="205"/>
      <c r="N142" s="205"/>
      <c r="O142" s="238" t="s">
        <v>996</v>
      </c>
      <c r="P142" s="179"/>
      <c r="Q142" s="179"/>
      <c r="R142" s="179"/>
      <c r="S142" s="179"/>
    </row>
    <row r="143" spans="1:19" x14ac:dyDescent="0.2">
      <c r="A143" s="185">
        <v>3</v>
      </c>
      <c r="B143" s="186" t="str">
        <f t="shared" ref="B143:B146" si="17">CONCATENATE($B$138,".",TEXT(A143,"0000"))</f>
        <v>II-0013.0003</v>
      </c>
      <c r="C143" s="179" t="str">
        <f>CONCATENATE($K$142," - TIPO ",L143)</f>
        <v>PEATONAL  H-10237 - TIPO LIVIANA  ( A )</v>
      </c>
      <c r="D143" s="202" t="s">
        <v>996</v>
      </c>
      <c r="G143" s="179"/>
      <c r="H143" s="196"/>
      <c r="I143" s="203"/>
      <c r="J143" s="204">
        <v>1</v>
      </c>
      <c r="K143" s="205"/>
      <c r="L143" s="206" t="s">
        <v>1268</v>
      </c>
      <c r="M143" s="205"/>
      <c r="N143" s="205"/>
      <c r="O143" s="238" t="s">
        <v>996</v>
      </c>
      <c r="P143" s="179"/>
      <c r="Q143" s="194">
        <v>3</v>
      </c>
      <c r="R143" s="186" t="str">
        <f>CONCATENATE($L$138,".",TEXT(Q143,"0000"))</f>
        <v>.0003</v>
      </c>
      <c r="S143" s="179" t="str">
        <f>CONCATENATE($E$142," TIPO ",L143)</f>
        <v xml:space="preserve"> TIPO LIVIANA  ( A )</v>
      </c>
    </row>
    <row r="144" spans="1:19" x14ac:dyDescent="0.2">
      <c r="A144" s="185">
        <v>4</v>
      </c>
      <c r="B144" s="186" t="str">
        <f t="shared" si="17"/>
        <v>II-0013.0004</v>
      </c>
      <c r="C144" s="179" t="str">
        <f>CONCATENATE($K$142," - TIPO ",L144)</f>
        <v>PEATONAL  H-10237 - TIPO PESADA ( B )</v>
      </c>
      <c r="D144" s="202" t="s">
        <v>996</v>
      </c>
      <c r="G144" s="179"/>
      <c r="H144" s="196"/>
      <c r="I144" s="203"/>
      <c r="J144" s="210">
        <v>2</v>
      </c>
      <c r="K144" s="205"/>
      <c r="L144" s="206" t="s">
        <v>1269</v>
      </c>
      <c r="M144" s="205"/>
      <c r="N144" s="205"/>
      <c r="O144" s="238" t="s">
        <v>996</v>
      </c>
      <c r="P144" s="179"/>
      <c r="Q144" s="194">
        <v>4</v>
      </c>
      <c r="R144" s="186" t="str">
        <f>CONCATENATE($L$138,".",TEXT(Q144,"0000"))</f>
        <v>.0004</v>
      </c>
      <c r="S144" s="179" t="str">
        <f>CONCATENATE($E$142," TIPO ",L144)</f>
        <v xml:space="preserve"> TIPO PESADA ( B )</v>
      </c>
    </row>
    <row r="145" spans="1:19" x14ac:dyDescent="0.2">
      <c r="A145" s="185">
        <v>10</v>
      </c>
      <c r="B145" s="186" t="str">
        <f t="shared" si="17"/>
        <v>II-0013.0010</v>
      </c>
      <c r="C145" s="179" t="str">
        <f>CONCATENATE($K$145)</f>
        <v xml:space="preserve">RETIRO </v>
      </c>
      <c r="D145" s="202" t="s">
        <v>996</v>
      </c>
      <c r="G145" s="179"/>
      <c r="H145" s="196"/>
      <c r="I145" s="197" t="s">
        <v>1057</v>
      </c>
      <c r="J145" s="244"/>
      <c r="K145" s="265" t="s">
        <v>1139</v>
      </c>
      <c r="L145" s="244"/>
      <c r="M145" s="244"/>
      <c r="N145" s="244"/>
      <c r="O145" s="279" t="s">
        <v>996</v>
      </c>
      <c r="P145" s="179"/>
      <c r="Q145" s="194">
        <v>10</v>
      </c>
      <c r="R145" s="186" t="str">
        <f t="shared" ref="R145:R146" si="18">CONCATENATE($L$138,".",TEXT(Q145,"0000"))</f>
        <v>.0010</v>
      </c>
      <c r="S145" s="179" t="str">
        <f>CONCATENATE($E$145)</f>
        <v/>
      </c>
    </row>
    <row r="146" spans="1:19" ht="15.75" thickBot="1" x14ac:dyDescent="0.25">
      <c r="A146" s="185">
        <v>11</v>
      </c>
      <c r="B146" s="186" t="str">
        <f t="shared" si="17"/>
        <v>II-0013.0011</v>
      </c>
      <c r="C146" s="179" t="str">
        <f>CONCATENATE(K146)</f>
        <v>RETIRO Y REPARACION</v>
      </c>
      <c r="D146" s="202" t="s">
        <v>996</v>
      </c>
      <c r="G146" s="179"/>
      <c r="H146" s="249"/>
      <c r="I146" s="306" t="s">
        <v>1083</v>
      </c>
      <c r="J146" s="252"/>
      <c r="K146" s="253" t="s">
        <v>1271</v>
      </c>
      <c r="L146" s="252"/>
      <c r="M146" s="252"/>
      <c r="N146" s="252"/>
      <c r="O146" s="307" t="s">
        <v>996</v>
      </c>
      <c r="P146" s="179"/>
      <c r="Q146" s="194">
        <v>11</v>
      </c>
      <c r="R146" s="186" t="str">
        <f t="shared" si="18"/>
        <v>.0011</v>
      </c>
      <c r="S146" s="179" t="str">
        <f>CONCATENATE($E$146)</f>
        <v/>
      </c>
    </row>
    <row r="147" spans="1:19" x14ac:dyDescent="0.2">
      <c r="A147" s="185"/>
      <c r="B147" s="186"/>
      <c r="C147" s="187"/>
      <c r="D147" s="202"/>
      <c r="G147" s="179"/>
      <c r="H147" s="196"/>
      <c r="I147" s="203"/>
      <c r="J147" s="205"/>
      <c r="K147" s="206"/>
      <c r="L147" s="205"/>
      <c r="M147" s="205"/>
      <c r="N147" s="205"/>
      <c r="O147" s="238"/>
      <c r="P147" s="179"/>
      <c r="Q147" s="194"/>
      <c r="R147" s="186"/>
      <c r="S147" s="179"/>
    </row>
    <row r="148" spans="1:19" x14ac:dyDescent="0.2">
      <c r="A148" s="185">
        <v>14</v>
      </c>
      <c r="B148" s="178" t="s">
        <v>1272</v>
      </c>
      <c r="C148" s="187" t="s">
        <v>1273</v>
      </c>
      <c r="D148" s="202"/>
      <c r="G148" s="179"/>
      <c r="H148" s="223">
        <v>14</v>
      </c>
      <c r="I148" s="308"/>
      <c r="J148" s="309"/>
      <c r="K148" s="277" t="s">
        <v>1273</v>
      </c>
      <c r="L148" s="309"/>
      <c r="M148" s="309"/>
      <c r="N148" s="309"/>
      <c r="O148" s="310"/>
      <c r="P148" s="179"/>
      <c r="Q148" s="194">
        <f>H148</f>
        <v>14</v>
      </c>
      <c r="R148" s="184" t="str">
        <f>CONCATENATE("II-",TEXT(Q148,"0000"))</f>
        <v>II-0014</v>
      </c>
      <c r="S148" s="195" t="str">
        <f>K148</f>
        <v>BASE</v>
      </c>
    </row>
    <row r="149" spans="1:19" x14ac:dyDescent="0.2">
      <c r="A149" s="185">
        <v>1</v>
      </c>
      <c r="B149" s="186" t="str">
        <f>CONCATENATE($B$148,".",TEXT(A149,"0000"))</f>
        <v>II-0014.0001</v>
      </c>
      <c r="C149" s="187" t="s">
        <v>1274</v>
      </c>
      <c r="D149" s="202" t="s">
        <v>1131</v>
      </c>
      <c r="G149" s="205"/>
      <c r="H149" s="280"/>
      <c r="I149" s="197" t="s">
        <v>1020</v>
      </c>
      <c r="J149" s="244"/>
      <c r="K149" s="311" t="s">
        <v>1274</v>
      </c>
      <c r="L149" s="244"/>
      <c r="M149" s="244"/>
      <c r="N149" s="244"/>
      <c r="O149" s="279" t="s">
        <v>1131</v>
      </c>
      <c r="P149" s="205"/>
      <c r="Q149" s="194">
        <v>1</v>
      </c>
      <c r="R149" s="186" t="str">
        <f>CONCATENATE($L$148,".",TEXT(Q149,"0000"))</f>
        <v>.0001</v>
      </c>
      <c r="S149" s="179" t="str">
        <f>CONCATENATE(K149)</f>
        <v>ARENA ASFALTO</v>
      </c>
    </row>
    <row r="150" spans="1:19" x14ac:dyDescent="0.2">
      <c r="A150" s="185">
        <v>2</v>
      </c>
      <c r="B150" s="186" t="str">
        <f>CONCATENATE($B$148,".",TEXT(A150,"0000"))</f>
        <v>II-0014.0002</v>
      </c>
      <c r="C150" s="209" t="s">
        <v>1275</v>
      </c>
      <c r="D150" s="202" t="s">
        <v>1131</v>
      </c>
      <c r="G150" s="205"/>
      <c r="H150" s="196"/>
      <c r="I150" s="197" t="s">
        <v>1047</v>
      </c>
      <c r="J150" s="244"/>
      <c r="K150" s="265" t="s">
        <v>1275</v>
      </c>
      <c r="L150" s="244"/>
      <c r="M150" s="244"/>
      <c r="N150" s="244"/>
      <c r="O150" s="279" t="s">
        <v>1131</v>
      </c>
      <c r="P150" s="205"/>
      <c r="Q150" s="194">
        <v>2</v>
      </c>
      <c r="R150" s="186" t="str">
        <f>CONCATENATE($L$148,".",TEXT(Q150,"0000"))</f>
        <v>.0002</v>
      </c>
      <c r="S150" s="179" t="str">
        <f>CONCATENATE(K150)</f>
        <v>CONCRETO ASFALTICO BITUMINOSO</v>
      </c>
    </row>
    <row r="151" spans="1:19" x14ac:dyDescent="0.2">
      <c r="A151" s="185"/>
      <c r="B151" s="186"/>
      <c r="C151" s="187"/>
      <c r="D151" s="202"/>
      <c r="G151" s="205"/>
      <c r="H151" s="196"/>
      <c r="I151" s="210" t="s">
        <v>1057</v>
      </c>
      <c r="J151" s="205"/>
      <c r="K151" s="206" t="s">
        <v>1276</v>
      </c>
      <c r="L151" s="205"/>
      <c r="M151" s="205"/>
      <c r="N151" s="205"/>
      <c r="O151" s="238"/>
      <c r="P151" s="205"/>
      <c r="Q151" s="205"/>
      <c r="R151" s="205"/>
      <c r="S151" s="205"/>
    </row>
    <row r="152" spans="1:19" x14ac:dyDescent="0.2">
      <c r="A152" s="185">
        <v>3</v>
      </c>
      <c r="B152" s="186" t="str">
        <f t="shared" ref="B152:B154" si="19">CONCATENATE($B$148,".",TEXT(A152,"0000"))</f>
        <v>II-0014.0003</v>
      </c>
      <c r="C152" s="179" t="str">
        <f>CONCATENATE($K$151," - TIPO ",L152)</f>
        <v>GRANULAR - TIPO ANTICOGELANTES</v>
      </c>
      <c r="D152" s="202" t="s">
        <v>1131</v>
      </c>
      <c r="G152" s="205"/>
      <c r="H152" s="196"/>
      <c r="I152" s="203"/>
      <c r="J152" s="204">
        <v>1</v>
      </c>
      <c r="K152" s="205"/>
      <c r="L152" s="206" t="s">
        <v>1277</v>
      </c>
      <c r="M152" s="205"/>
      <c r="N152" s="205"/>
      <c r="O152" s="238" t="s">
        <v>1131</v>
      </c>
      <c r="P152" s="205"/>
      <c r="Q152" s="194">
        <v>3</v>
      </c>
      <c r="R152" s="186" t="str">
        <f>CONCATENATE($L$148,".",TEXT(Q152,"0000"))</f>
        <v>.0003</v>
      </c>
      <c r="S152" s="179" t="str">
        <f>CONCATENATE($E$151," ",L152)</f>
        <v xml:space="preserve"> ANTICOGELANTES</v>
      </c>
    </row>
    <row r="153" spans="1:19" x14ac:dyDescent="0.2">
      <c r="A153" s="185">
        <v>4</v>
      </c>
      <c r="B153" s="186" t="str">
        <f t="shared" si="19"/>
        <v>II-0014.0004</v>
      </c>
      <c r="C153" s="179" t="str">
        <f t="shared" ref="C153:C154" si="20">CONCATENATE($K$151," - TIPO ",L153)</f>
        <v>GRANULAR - TIPO DRENANTES</v>
      </c>
      <c r="D153" s="202" t="s">
        <v>1131</v>
      </c>
      <c r="G153" s="205"/>
      <c r="H153" s="196"/>
      <c r="I153" s="203"/>
      <c r="J153" s="204">
        <v>2</v>
      </c>
      <c r="K153" s="206"/>
      <c r="L153" s="206" t="s">
        <v>1278</v>
      </c>
      <c r="M153" s="205"/>
      <c r="N153" s="205"/>
      <c r="O153" s="238" t="s">
        <v>1131</v>
      </c>
      <c r="P153" s="205"/>
      <c r="Q153" s="194">
        <v>4</v>
      </c>
      <c r="R153" s="186" t="str">
        <f t="shared" ref="R153:R154" si="21">CONCATENATE($L$148,".",TEXT(Q153,"0000"))</f>
        <v>.0004</v>
      </c>
      <c r="S153" s="179" t="str">
        <f t="shared" ref="S153" si="22">CONCATENATE($E$151," ",L153)</f>
        <v xml:space="preserve"> DRENANTES</v>
      </c>
    </row>
    <row r="154" spans="1:19" ht="15.75" thickBot="1" x14ac:dyDescent="0.25">
      <c r="A154" s="185">
        <v>5</v>
      </c>
      <c r="B154" s="186" t="str">
        <f t="shared" si="19"/>
        <v>II-0014.0005</v>
      </c>
      <c r="C154" s="179" t="str">
        <f t="shared" si="20"/>
        <v>GRANULAR - TIPO GRANULAR</v>
      </c>
      <c r="D154" s="202" t="s">
        <v>1131</v>
      </c>
      <c r="G154" s="205"/>
      <c r="H154" s="249"/>
      <c r="I154" s="312"/>
      <c r="J154" s="251">
        <v>3</v>
      </c>
      <c r="K154" s="253"/>
      <c r="L154" s="253" t="s">
        <v>1276</v>
      </c>
      <c r="M154" s="252"/>
      <c r="N154" s="252"/>
      <c r="O154" s="307" t="s">
        <v>1131</v>
      </c>
      <c r="P154" s="205"/>
      <c r="Q154" s="194">
        <v>5</v>
      </c>
      <c r="R154" s="186" t="str">
        <f t="shared" si="21"/>
        <v>.0005</v>
      </c>
      <c r="S154" s="179" t="str">
        <f>CONCATENATE($E$151)</f>
        <v/>
      </c>
    </row>
    <row r="155" spans="1:19" x14ac:dyDescent="0.2">
      <c r="A155" s="185"/>
      <c r="B155" s="186"/>
      <c r="C155" s="187"/>
      <c r="D155" s="202"/>
      <c r="G155" s="205"/>
      <c r="H155" s="255"/>
      <c r="I155" s="203"/>
      <c r="J155" s="203"/>
      <c r="K155" s="206"/>
      <c r="L155" s="206"/>
      <c r="M155" s="205"/>
      <c r="N155" s="205"/>
      <c r="O155" s="313"/>
      <c r="P155" s="205"/>
      <c r="Q155" s="194"/>
      <c r="R155" s="205"/>
      <c r="S155" s="205"/>
    </row>
    <row r="156" spans="1:19" x14ac:dyDescent="0.2">
      <c r="A156" s="185"/>
      <c r="B156" s="186"/>
      <c r="C156" s="187"/>
      <c r="D156" s="202"/>
      <c r="G156" s="179"/>
      <c r="H156" s="223">
        <v>14</v>
      </c>
      <c r="I156" s="225"/>
      <c r="J156" s="236"/>
      <c r="K156" s="293" t="s">
        <v>1273</v>
      </c>
      <c r="L156" s="236"/>
      <c r="M156" s="236"/>
      <c r="N156" s="236"/>
      <c r="O156" s="247"/>
      <c r="P156" s="179"/>
      <c r="Q156" s="194"/>
      <c r="R156" s="179"/>
      <c r="S156" s="179"/>
    </row>
    <row r="157" spans="1:19" x14ac:dyDescent="0.2">
      <c r="A157" s="185">
        <v>6</v>
      </c>
      <c r="B157" s="186" t="str">
        <f t="shared" ref="B157" si="23">CONCATENATE($B$148,".",TEXT(A157,"0000"))</f>
        <v>II-0014.0006</v>
      </c>
      <c r="C157" s="179" t="str">
        <f>CONCATENATE(K157)</f>
        <v>AGREGADO PETREO Y SUELO</v>
      </c>
      <c r="D157" s="202" t="s">
        <v>1131</v>
      </c>
      <c r="G157" s="179"/>
      <c r="H157" s="196"/>
      <c r="I157" s="197" t="s">
        <v>1083</v>
      </c>
      <c r="J157" s="244"/>
      <c r="K157" s="311" t="s">
        <v>1279</v>
      </c>
      <c r="L157" s="244"/>
      <c r="M157" s="244"/>
      <c r="N157" s="244"/>
      <c r="O157" s="279" t="s">
        <v>1131</v>
      </c>
      <c r="P157" s="179"/>
      <c r="Q157" s="194">
        <v>6</v>
      </c>
      <c r="R157" s="186" t="str">
        <f t="shared" ref="R157" si="24">CONCATENATE($L$148,".",TEXT(Q157,"0000"))</f>
        <v>.0006</v>
      </c>
      <c r="S157" s="179" t="str">
        <f>CONCATENATE($E$157)</f>
        <v/>
      </c>
    </row>
    <row r="158" spans="1:19" x14ac:dyDescent="0.2">
      <c r="A158" s="185"/>
      <c r="B158" s="186"/>
      <c r="C158" s="187"/>
      <c r="D158" s="202"/>
      <c r="G158" s="179"/>
      <c r="H158" s="196"/>
      <c r="I158" s="197" t="s">
        <v>1125</v>
      </c>
      <c r="J158" s="205"/>
      <c r="K158" s="283" t="s">
        <v>1134</v>
      </c>
      <c r="L158" s="205"/>
      <c r="M158" s="205"/>
      <c r="N158" s="205"/>
      <c r="O158" s="238"/>
      <c r="P158" s="179"/>
      <c r="Q158" s="179"/>
      <c r="R158" s="179"/>
      <c r="S158" s="179"/>
    </row>
    <row r="159" spans="1:19" x14ac:dyDescent="0.2">
      <c r="A159" s="185">
        <v>10</v>
      </c>
      <c r="B159" s="186" t="str">
        <f t="shared" ref="B159:B167" si="25">CONCATENATE($B$148,".",TEXT(A159,"0000"))</f>
        <v>II-0014.0010</v>
      </c>
      <c r="C159" s="179" t="str">
        <f>CONCATENATE($K$158," ",L159)</f>
        <v>REPARACION AGREGADO PETREO Y SUELO</v>
      </c>
      <c r="D159" s="202" t="s">
        <v>1131</v>
      </c>
      <c r="G159" s="179"/>
      <c r="H159" s="196"/>
      <c r="I159" s="203"/>
      <c r="J159" s="204">
        <v>1</v>
      </c>
      <c r="K159" s="283"/>
      <c r="L159" s="206" t="s">
        <v>1279</v>
      </c>
      <c r="M159" s="205"/>
      <c r="N159" s="205"/>
      <c r="O159" s="238" t="s">
        <v>1131</v>
      </c>
      <c r="P159" s="179"/>
      <c r="Q159" s="194">
        <v>10</v>
      </c>
      <c r="R159" s="186" t="str">
        <f>CONCATENATE($L$148,".",TEXT(Q159,"0000"))</f>
        <v>.0010</v>
      </c>
      <c r="S159" s="179" t="str">
        <f>CONCATENATE($E$158," ",L159)</f>
        <v xml:space="preserve"> AGREGADO PETREO Y SUELO</v>
      </c>
    </row>
    <row r="160" spans="1:19" x14ac:dyDescent="0.2">
      <c r="A160" s="185">
        <v>11</v>
      </c>
      <c r="B160" s="186" t="str">
        <f t="shared" si="25"/>
        <v>II-0014.0011</v>
      </c>
      <c r="C160" s="179" t="str">
        <f t="shared" ref="C160:C163" si="26">CONCATENATE($K$158," ",L160)</f>
        <v>REPARACION SUELO CAL</v>
      </c>
      <c r="D160" s="202" t="s">
        <v>1131</v>
      </c>
      <c r="G160" s="179"/>
      <c r="H160" s="196"/>
      <c r="I160" s="203"/>
      <c r="J160" s="204">
        <v>2</v>
      </c>
      <c r="K160" s="283"/>
      <c r="L160" s="206" t="s">
        <v>1215</v>
      </c>
      <c r="M160" s="205"/>
      <c r="N160" s="205"/>
      <c r="O160" s="238" t="s">
        <v>1131</v>
      </c>
      <c r="P160" s="179"/>
      <c r="Q160" s="194">
        <v>11</v>
      </c>
      <c r="R160" s="186" t="str">
        <f t="shared" ref="R160:R167" si="27">CONCATENATE($L$148,".",TEXT(Q160,"0000"))</f>
        <v>.0011</v>
      </c>
      <c r="S160" s="179" t="str">
        <f t="shared" ref="S160:S163" si="28">CONCATENATE($E$158," ",L160)</f>
        <v xml:space="preserve"> SUELO CAL</v>
      </c>
    </row>
    <row r="161" spans="1:19" x14ac:dyDescent="0.2">
      <c r="A161" s="185">
        <v>12</v>
      </c>
      <c r="B161" s="186" t="str">
        <f t="shared" si="25"/>
        <v>II-0014.0012</v>
      </c>
      <c r="C161" s="179" t="str">
        <f t="shared" si="26"/>
        <v>REPARACION SUELO CEMENTO</v>
      </c>
      <c r="D161" s="202" t="s">
        <v>1131</v>
      </c>
      <c r="G161" s="179"/>
      <c r="H161" s="196"/>
      <c r="I161" s="203"/>
      <c r="J161" s="204">
        <v>3</v>
      </c>
      <c r="K161" s="283"/>
      <c r="L161" s="206" t="s">
        <v>1218</v>
      </c>
      <c r="M161" s="205"/>
      <c r="N161" s="205"/>
      <c r="O161" s="238" t="s">
        <v>1131</v>
      </c>
      <c r="P161" s="179"/>
      <c r="Q161" s="194">
        <v>12</v>
      </c>
      <c r="R161" s="186" t="str">
        <f t="shared" si="27"/>
        <v>.0012</v>
      </c>
      <c r="S161" s="179" t="str">
        <f t="shared" si="28"/>
        <v xml:space="preserve"> SUELO CEMENTO</v>
      </c>
    </row>
    <row r="162" spans="1:19" x14ac:dyDescent="0.2">
      <c r="A162" s="185">
        <v>13</v>
      </c>
      <c r="B162" s="186" t="str">
        <f t="shared" si="25"/>
        <v>II-0014.0013</v>
      </c>
      <c r="C162" s="179" t="str">
        <f t="shared" si="26"/>
        <v>REPARACION SUELO ESCORIA</v>
      </c>
      <c r="D162" s="202" t="s">
        <v>1131</v>
      </c>
      <c r="G162" s="179"/>
      <c r="H162" s="196"/>
      <c r="I162" s="203"/>
      <c r="J162" s="204">
        <v>4</v>
      </c>
      <c r="K162" s="283"/>
      <c r="L162" s="206" t="s">
        <v>1280</v>
      </c>
      <c r="M162" s="205"/>
      <c r="N162" s="205"/>
      <c r="O162" s="238" t="s">
        <v>1131</v>
      </c>
      <c r="P162" s="179"/>
      <c r="Q162" s="194">
        <v>13</v>
      </c>
      <c r="R162" s="186" t="str">
        <f t="shared" si="27"/>
        <v>.0013</v>
      </c>
      <c r="S162" s="179" t="str">
        <f t="shared" si="28"/>
        <v xml:space="preserve"> SUELO ESCORIA</v>
      </c>
    </row>
    <row r="163" spans="1:19" x14ac:dyDescent="0.2">
      <c r="A163" s="185">
        <v>14</v>
      </c>
      <c r="B163" s="186" t="str">
        <f t="shared" si="25"/>
        <v>II-0014.0014</v>
      </c>
      <c r="C163" s="179" t="str">
        <f t="shared" si="26"/>
        <v>REPARACION SUELO SELECCIONADO</v>
      </c>
      <c r="D163" s="202" t="s">
        <v>1131</v>
      </c>
      <c r="G163" s="179"/>
      <c r="H163" s="196"/>
      <c r="I163" s="215"/>
      <c r="J163" s="210">
        <v>5</v>
      </c>
      <c r="K163" s="283"/>
      <c r="L163" s="206" t="s">
        <v>1221</v>
      </c>
      <c r="M163" s="205"/>
      <c r="N163" s="205"/>
      <c r="O163" s="238" t="s">
        <v>1131</v>
      </c>
      <c r="P163" s="179"/>
      <c r="Q163" s="194">
        <v>14</v>
      </c>
      <c r="R163" s="186" t="str">
        <f t="shared" si="27"/>
        <v>.0014</v>
      </c>
      <c r="S163" s="179" t="str">
        <f t="shared" si="28"/>
        <v xml:space="preserve"> SUELO SELECCIONADO</v>
      </c>
    </row>
    <row r="164" spans="1:19" x14ac:dyDescent="0.2">
      <c r="A164" s="185">
        <v>20</v>
      </c>
      <c r="B164" s="186" t="str">
        <f t="shared" si="25"/>
        <v>II-0014.0020</v>
      </c>
      <c r="C164" s="179" t="str">
        <f t="shared" ref="C164:C167" si="29">CONCATENATE(K164)</f>
        <v>SUELO CAL</v>
      </c>
      <c r="D164" s="202" t="s">
        <v>1131</v>
      </c>
      <c r="G164" s="179"/>
      <c r="H164" s="196"/>
      <c r="I164" s="210" t="s">
        <v>1128</v>
      </c>
      <c r="J164" s="244"/>
      <c r="K164" s="311" t="s">
        <v>1215</v>
      </c>
      <c r="L164" s="244"/>
      <c r="M164" s="244"/>
      <c r="N164" s="244"/>
      <c r="O164" s="279" t="s">
        <v>1131</v>
      </c>
      <c r="P164" s="179"/>
      <c r="Q164" s="194">
        <v>20</v>
      </c>
      <c r="R164" s="186" t="str">
        <f t="shared" si="27"/>
        <v>.0020</v>
      </c>
      <c r="S164" s="179" t="str">
        <f>CONCATENATE(K164)</f>
        <v>SUELO CAL</v>
      </c>
    </row>
    <row r="165" spans="1:19" x14ac:dyDescent="0.2">
      <c r="A165" s="185">
        <v>21</v>
      </c>
      <c r="B165" s="186" t="str">
        <f t="shared" si="25"/>
        <v>II-0014.0021</v>
      </c>
      <c r="C165" s="179" t="str">
        <f t="shared" si="29"/>
        <v>SUELO CEMENTO</v>
      </c>
      <c r="D165" s="202" t="s">
        <v>1131</v>
      </c>
      <c r="G165" s="179"/>
      <c r="H165" s="196"/>
      <c r="I165" s="204" t="s">
        <v>1132</v>
      </c>
      <c r="J165" s="205"/>
      <c r="K165" s="283" t="s">
        <v>1218</v>
      </c>
      <c r="L165" s="205"/>
      <c r="M165" s="205"/>
      <c r="N165" s="205"/>
      <c r="O165" s="238" t="s">
        <v>1131</v>
      </c>
      <c r="P165" s="179"/>
      <c r="Q165" s="194">
        <v>21</v>
      </c>
      <c r="R165" s="186" t="str">
        <f t="shared" si="27"/>
        <v>.0021</v>
      </c>
      <c r="S165" s="179" t="str">
        <f t="shared" ref="S165:S167" si="30">CONCATENATE(K165)</f>
        <v>SUELO CEMENTO</v>
      </c>
    </row>
    <row r="166" spans="1:19" x14ac:dyDescent="0.2">
      <c r="A166" s="185">
        <v>22</v>
      </c>
      <c r="B166" s="186" t="str">
        <f t="shared" si="25"/>
        <v>II-0014.0022</v>
      </c>
      <c r="C166" s="179" t="str">
        <f t="shared" si="29"/>
        <v>SUELO ESCORIA</v>
      </c>
      <c r="D166" s="202" t="s">
        <v>1131</v>
      </c>
      <c r="G166" s="179"/>
      <c r="H166" s="196"/>
      <c r="I166" s="197" t="s">
        <v>1135</v>
      </c>
      <c r="J166" s="244"/>
      <c r="K166" s="311" t="s">
        <v>1280</v>
      </c>
      <c r="L166" s="244"/>
      <c r="M166" s="244"/>
      <c r="N166" s="244"/>
      <c r="O166" s="279" t="s">
        <v>1131</v>
      </c>
      <c r="P166" s="179"/>
      <c r="Q166" s="194">
        <v>22</v>
      </c>
      <c r="R166" s="186" t="str">
        <f t="shared" si="27"/>
        <v>.0022</v>
      </c>
      <c r="S166" s="179" t="str">
        <f t="shared" si="30"/>
        <v>SUELO ESCORIA</v>
      </c>
    </row>
    <row r="167" spans="1:19" x14ac:dyDescent="0.2">
      <c r="A167" s="185">
        <v>23</v>
      </c>
      <c r="B167" s="186" t="str">
        <f t="shared" si="25"/>
        <v>II-0014.0023</v>
      </c>
      <c r="C167" s="179" t="str">
        <f t="shared" si="29"/>
        <v>SUELO SELECCIONADO</v>
      </c>
      <c r="D167" s="202" t="s">
        <v>1131</v>
      </c>
      <c r="G167" s="179"/>
      <c r="H167" s="196"/>
      <c r="I167" s="204" t="s">
        <v>889</v>
      </c>
      <c r="J167" s="205"/>
      <c r="K167" s="283" t="s">
        <v>1221</v>
      </c>
      <c r="L167" s="205"/>
      <c r="M167" s="205"/>
      <c r="N167" s="205"/>
      <c r="O167" s="238" t="s">
        <v>1131</v>
      </c>
      <c r="P167" s="179"/>
      <c r="Q167" s="194">
        <v>23</v>
      </c>
      <c r="R167" s="186" t="str">
        <f t="shared" si="27"/>
        <v>.0023</v>
      </c>
      <c r="S167" s="179" t="str">
        <f t="shared" si="30"/>
        <v>SUELO SELECCIONADO</v>
      </c>
    </row>
    <row r="168" spans="1:19" ht="15.75" thickBot="1" x14ac:dyDescent="0.25">
      <c r="A168" s="185"/>
      <c r="B168" s="186"/>
      <c r="C168" s="187"/>
      <c r="D168" s="202"/>
      <c r="G168" s="179"/>
      <c r="H168" s="196"/>
      <c r="I168" s="203"/>
      <c r="J168" s="205"/>
      <c r="K168" s="283"/>
      <c r="L168" s="205"/>
      <c r="M168" s="205"/>
      <c r="N168" s="205"/>
      <c r="O168" s="238"/>
      <c r="P168" s="179"/>
      <c r="Q168" s="194"/>
      <c r="R168" s="186"/>
      <c r="S168" s="179"/>
    </row>
    <row r="169" spans="1:19" ht="15.75" thickTop="1" x14ac:dyDescent="0.2">
      <c r="A169" s="185">
        <v>15</v>
      </c>
      <c r="B169" s="186" t="s">
        <v>1281</v>
      </c>
      <c r="C169" s="187" t="s">
        <v>1282</v>
      </c>
      <c r="D169" s="202"/>
      <c r="G169" s="179"/>
      <c r="H169" s="274">
        <v>15</v>
      </c>
      <c r="I169" s="224"/>
      <c r="J169" s="284"/>
      <c r="K169" s="285" t="s">
        <v>1282</v>
      </c>
      <c r="L169" s="284"/>
      <c r="M169" s="284"/>
      <c r="N169" s="284"/>
      <c r="O169" s="226"/>
      <c r="P169" s="179"/>
      <c r="Q169" s="194">
        <f>H169</f>
        <v>15</v>
      </c>
      <c r="R169" s="184" t="str">
        <f>CONCATENATE("II-",TEXT(Q169,"0000"))</f>
        <v>II-0015</v>
      </c>
      <c r="S169" s="195" t="str">
        <f>K169</f>
        <v>CALZADA</v>
      </c>
    </row>
    <row r="170" spans="1:19" x14ac:dyDescent="0.2">
      <c r="A170" s="185"/>
      <c r="B170" s="186"/>
      <c r="C170" s="187"/>
      <c r="D170" s="202"/>
      <c r="G170" s="179"/>
      <c r="H170" s="196"/>
      <c r="I170" s="197" t="s">
        <v>1020</v>
      </c>
      <c r="J170" s="205"/>
      <c r="K170" s="206" t="s">
        <v>1283</v>
      </c>
      <c r="L170" s="200"/>
      <c r="M170" s="200"/>
      <c r="N170" s="200"/>
      <c r="O170" s="248"/>
      <c r="P170" s="179"/>
      <c r="Q170" s="194"/>
      <c r="R170" s="179"/>
      <c r="S170" s="179"/>
    </row>
    <row r="171" spans="1:19" x14ac:dyDescent="0.2">
      <c r="A171" s="185">
        <v>1</v>
      </c>
      <c r="B171" s="186" t="str">
        <f>CONCATENATE($B$169,".",TEXT(A171,"0000"))</f>
        <v>II-0015.0001</v>
      </c>
      <c r="C171" s="179" t="str">
        <f>CONCATENATE($K$170," ",L171)</f>
        <v>CORRECCION DE AHUELLAMIENTO AGREGADO PETREO Y SUELO</v>
      </c>
      <c r="D171" s="202" t="s">
        <v>1214</v>
      </c>
      <c r="G171" s="179"/>
      <c r="H171" s="196"/>
      <c r="I171" s="203"/>
      <c r="J171" s="204">
        <v>1</v>
      </c>
      <c r="K171" s="205"/>
      <c r="L171" s="283" t="s">
        <v>1279</v>
      </c>
      <c r="M171" s="205"/>
      <c r="N171" s="205"/>
      <c r="O171" s="238" t="s">
        <v>1214</v>
      </c>
      <c r="P171" s="179"/>
      <c r="Q171" s="194"/>
      <c r="R171" s="179"/>
      <c r="S171" s="179"/>
    </row>
    <row r="172" spans="1:19" x14ac:dyDescent="0.2">
      <c r="A172" s="185">
        <v>2</v>
      </c>
      <c r="B172" s="186" t="str">
        <f t="shared" ref="B172:B181" si="31">CONCATENATE($B$169,".",TEXT(A172,"0000"))</f>
        <v>II-0015.0002</v>
      </c>
      <c r="C172" s="179" t="str">
        <f t="shared" ref="C172:C175" si="32">CONCATENATE($K$170," ",L172)</f>
        <v>CORRECCION DE AHUELLAMIENTO FRESADO</v>
      </c>
      <c r="D172" s="202" t="s">
        <v>1214</v>
      </c>
      <c r="G172" s="179"/>
      <c r="H172" s="196"/>
      <c r="I172" s="203"/>
      <c r="J172" s="204">
        <v>2</v>
      </c>
      <c r="K172" s="206"/>
      <c r="L172" s="195" t="s">
        <v>1284</v>
      </c>
      <c r="M172" s="282"/>
      <c r="N172" s="282"/>
      <c r="O172" s="238" t="s">
        <v>1214</v>
      </c>
      <c r="P172" s="179"/>
      <c r="Q172" s="194"/>
      <c r="R172" s="179"/>
      <c r="S172" s="179"/>
    </row>
    <row r="173" spans="1:19" x14ac:dyDescent="0.2">
      <c r="A173" s="185">
        <v>3</v>
      </c>
      <c r="B173" s="186" t="str">
        <f t="shared" si="31"/>
        <v>II-0015.0003</v>
      </c>
      <c r="C173" s="179" t="str">
        <f t="shared" si="32"/>
        <v>CORRECCION DE AHUELLAMIENTO MEZCLA ASFALTICA</v>
      </c>
      <c r="D173" s="202" t="s">
        <v>1214</v>
      </c>
      <c r="G173" s="179"/>
      <c r="H173" s="196"/>
      <c r="I173" s="203"/>
      <c r="J173" s="204">
        <v>3</v>
      </c>
      <c r="K173" s="206"/>
      <c r="L173" s="206" t="s">
        <v>1211</v>
      </c>
      <c r="M173" s="282"/>
      <c r="N173" s="282"/>
      <c r="O173" s="238" t="s">
        <v>1214</v>
      </c>
      <c r="P173" s="179"/>
      <c r="Q173" s="179"/>
      <c r="R173" s="179"/>
      <c r="S173" s="179"/>
    </row>
    <row r="174" spans="1:19" x14ac:dyDescent="0.2">
      <c r="A174" s="185">
        <v>4</v>
      </c>
      <c r="B174" s="186" t="str">
        <f t="shared" si="31"/>
        <v>II-0015.0004</v>
      </c>
      <c r="C174" s="179" t="str">
        <f t="shared" si="32"/>
        <v>CORRECCION DE AHUELLAMIENTO MICROAGLOMERADO</v>
      </c>
      <c r="D174" s="202" t="s">
        <v>1214</v>
      </c>
      <c r="G174" s="179"/>
      <c r="H174" s="196"/>
      <c r="I174" s="203"/>
      <c r="J174" s="294">
        <v>4</v>
      </c>
      <c r="K174" s="206"/>
      <c r="L174" s="206" t="s">
        <v>1285</v>
      </c>
      <c r="M174" s="205"/>
      <c r="N174" s="205"/>
      <c r="O174" s="238" t="s">
        <v>1214</v>
      </c>
      <c r="P174" s="179"/>
      <c r="Q174" s="179"/>
      <c r="R174" s="179"/>
      <c r="S174" s="179"/>
    </row>
    <row r="175" spans="1:19" x14ac:dyDescent="0.2">
      <c r="A175" s="185">
        <v>5</v>
      </c>
      <c r="B175" s="186" t="str">
        <f t="shared" si="31"/>
        <v>II-0015.0005</v>
      </c>
      <c r="C175" s="179" t="str">
        <f t="shared" si="32"/>
        <v>CORRECCION DE AHUELLAMIENTO SUELO CEMENTO</v>
      </c>
      <c r="D175" s="202" t="s">
        <v>1214</v>
      </c>
      <c r="G175" s="179"/>
      <c r="H175" s="196"/>
      <c r="I175" s="215"/>
      <c r="J175" s="295">
        <v>5</v>
      </c>
      <c r="K175" s="212"/>
      <c r="L175" s="212" t="s">
        <v>1218</v>
      </c>
      <c r="M175" s="211"/>
      <c r="N175" s="211"/>
      <c r="O175" s="257" t="s">
        <v>1214</v>
      </c>
      <c r="P175" s="179"/>
      <c r="Q175" s="179"/>
      <c r="R175" s="179"/>
      <c r="S175" s="179"/>
    </row>
    <row r="176" spans="1:19" x14ac:dyDescent="0.2">
      <c r="A176" s="185"/>
      <c r="B176" s="186"/>
      <c r="C176" s="187"/>
      <c r="D176" s="202"/>
      <c r="G176" s="179"/>
      <c r="H176" s="196"/>
      <c r="I176" s="197" t="s">
        <v>1047</v>
      </c>
      <c r="J176" s="202"/>
      <c r="K176" s="206" t="s">
        <v>1286</v>
      </c>
      <c r="L176" s="283"/>
      <c r="M176" s="205"/>
      <c r="N176" s="205"/>
      <c r="O176" s="238"/>
      <c r="P176" s="179"/>
      <c r="Q176" s="179"/>
      <c r="R176" s="179"/>
      <c r="S176" s="179"/>
    </row>
    <row r="177" spans="1:19" x14ac:dyDescent="0.2">
      <c r="A177" s="185">
        <v>11</v>
      </c>
      <c r="B177" s="186" t="str">
        <f t="shared" si="31"/>
        <v>II-0015.0011</v>
      </c>
      <c r="C177" s="179" t="str">
        <f>CONCATENATE($K$176," ",L177)</f>
        <v>CORRECCION DE DEPRESIONES Y DEFORMACIONES AGREGADO PETREO Y SUELO</v>
      </c>
      <c r="D177" s="202" t="s">
        <v>1131</v>
      </c>
      <c r="G177" s="179"/>
      <c r="H177" s="196"/>
      <c r="I177" s="203"/>
      <c r="J177" s="204">
        <v>1</v>
      </c>
      <c r="K177" s="206"/>
      <c r="L177" s="283" t="s">
        <v>1279</v>
      </c>
      <c r="M177" s="282"/>
      <c r="N177" s="282"/>
      <c r="O177" s="238" t="s">
        <v>1131</v>
      </c>
      <c r="P177" s="179"/>
      <c r="Q177" s="179"/>
      <c r="R177" s="179"/>
      <c r="S177" s="179"/>
    </row>
    <row r="178" spans="1:19" x14ac:dyDescent="0.2">
      <c r="A178" s="185">
        <v>12</v>
      </c>
      <c r="B178" s="186" t="str">
        <f t="shared" si="31"/>
        <v>II-0015.0012</v>
      </c>
      <c r="C178" s="179" t="str">
        <f t="shared" ref="C178:C181" si="33">CONCATENATE($K$176," ",L178)</f>
        <v>CORRECCION DE DEPRESIONES Y DEFORMACIONES SUELO CAL</v>
      </c>
      <c r="D178" s="202" t="s">
        <v>1131</v>
      </c>
      <c r="G178" s="179"/>
      <c r="H178" s="196"/>
      <c r="I178" s="203"/>
      <c r="J178" s="204">
        <v>2</v>
      </c>
      <c r="K178" s="206"/>
      <c r="L178" s="283" t="s">
        <v>1215</v>
      </c>
      <c r="M178" s="282"/>
      <c r="N178" s="282"/>
      <c r="O178" s="238" t="s">
        <v>1131</v>
      </c>
      <c r="P178" s="179"/>
      <c r="Q178" s="179"/>
      <c r="R178" s="179"/>
      <c r="S178" s="179"/>
    </row>
    <row r="179" spans="1:19" x14ac:dyDescent="0.2">
      <c r="A179" s="185">
        <v>13</v>
      </c>
      <c r="B179" s="186" t="str">
        <f t="shared" si="31"/>
        <v>II-0015.0013</v>
      </c>
      <c r="C179" s="179" t="str">
        <f t="shared" si="33"/>
        <v>CORRECCION DE DEPRESIONES Y DEFORMACIONES SUELO CEMENTO</v>
      </c>
      <c r="D179" s="202" t="s">
        <v>1131</v>
      </c>
      <c r="G179" s="179"/>
      <c r="H179" s="196"/>
      <c r="I179" s="203"/>
      <c r="J179" s="204">
        <v>3</v>
      </c>
      <c r="K179" s="206"/>
      <c r="L179" s="283" t="s">
        <v>1218</v>
      </c>
      <c r="M179" s="282"/>
      <c r="N179" s="282"/>
      <c r="O179" s="238" t="s">
        <v>1131</v>
      </c>
      <c r="P179" s="179"/>
      <c r="Q179" s="179"/>
      <c r="R179" s="179"/>
      <c r="S179" s="179"/>
    </row>
    <row r="180" spans="1:19" x14ac:dyDescent="0.2">
      <c r="A180" s="185">
        <v>14</v>
      </c>
      <c r="B180" s="186" t="str">
        <f t="shared" si="31"/>
        <v>II-0015.0014</v>
      </c>
      <c r="C180" s="179" t="str">
        <f t="shared" si="33"/>
        <v>CORRECCION DE DEPRESIONES Y DEFORMACIONES SUELO ESCORIA</v>
      </c>
      <c r="D180" s="202" t="s">
        <v>1131</v>
      </c>
      <c r="G180" s="179"/>
      <c r="H180" s="196"/>
      <c r="I180" s="203"/>
      <c r="J180" s="294">
        <v>4</v>
      </c>
      <c r="K180" s="206"/>
      <c r="L180" s="283" t="s">
        <v>1280</v>
      </c>
      <c r="M180" s="205"/>
      <c r="N180" s="205"/>
      <c r="O180" s="238" t="s">
        <v>1131</v>
      </c>
      <c r="P180" s="179"/>
      <c r="Q180" s="179"/>
      <c r="R180" s="179"/>
      <c r="S180" s="179"/>
    </row>
    <row r="181" spans="1:19" x14ac:dyDescent="0.2">
      <c r="A181" s="185">
        <v>15</v>
      </c>
      <c r="B181" s="186" t="str">
        <f t="shared" si="31"/>
        <v>II-0015.0015</v>
      </c>
      <c r="C181" s="179" t="str">
        <f t="shared" si="33"/>
        <v>CORRECCION DE DEPRESIONES Y DEFORMACIONES SUELO SELECCIONADO</v>
      </c>
      <c r="D181" s="202" t="s">
        <v>1131</v>
      </c>
      <c r="G181" s="179"/>
      <c r="H181" s="196"/>
      <c r="I181" s="215"/>
      <c r="J181" s="295">
        <v>5</v>
      </c>
      <c r="K181" s="212"/>
      <c r="L181" s="296" t="s">
        <v>1221</v>
      </c>
      <c r="M181" s="211"/>
      <c r="N181" s="211"/>
      <c r="O181" s="257" t="s">
        <v>1131</v>
      </c>
      <c r="P181" s="179"/>
      <c r="Q181" s="179"/>
      <c r="R181" s="179"/>
      <c r="S181" s="179"/>
    </row>
    <row r="182" spans="1:19" ht="15.75" thickBot="1" x14ac:dyDescent="0.25">
      <c r="A182" s="185"/>
      <c r="B182" s="208"/>
      <c r="C182" s="209"/>
      <c r="D182" s="202" t="s">
        <v>996</v>
      </c>
      <c r="G182" s="179"/>
      <c r="H182" s="216"/>
      <c r="I182" s="228" t="s">
        <v>1083</v>
      </c>
      <c r="J182" s="300"/>
      <c r="K182" s="220" t="s">
        <v>1287</v>
      </c>
      <c r="L182" s="302"/>
      <c r="M182" s="219"/>
      <c r="N182" s="219"/>
      <c r="O182" s="304" t="s">
        <v>996</v>
      </c>
      <c r="P182" s="179"/>
      <c r="Q182" s="179"/>
      <c r="R182" s="179"/>
      <c r="S182" s="179"/>
    </row>
    <row r="183" spans="1:19" ht="15.75" thickTop="1" x14ac:dyDescent="0.2">
      <c r="A183" s="185">
        <v>16</v>
      </c>
      <c r="B183" s="186" t="s">
        <v>1288</v>
      </c>
      <c r="C183" s="187" t="s">
        <v>1289</v>
      </c>
      <c r="D183" s="202"/>
      <c r="G183" s="179"/>
      <c r="H183" s="223">
        <v>16</v>
      </c>
      <c r="I183" s="225"/>
      <c r="J183" s="236"/>
      <c r="K183" s="293" t="s">
        <v>1289</v>
      </c>
      <c r="L183" s="236"/>
      <c r="M183" s="236"/>
      <c r="N183" s="236"/>
      <c r="O183" s="247"/>
      <c r="P183" s="179"/>
      <c r="Q183" s="194">
        <f>H183</f>
        <v>16</v>
      </c>
      <c r="R183" s="184" t="str">
        <f>CONCATENATE("II-",TEXT(Q183,"0000"))</f>
        <v>II-0016</v>
      </c>
      <c r="S183" s="195" t="str">
        <f>K183</f>
        <v>CAMARA DE INSPECCION</v>
      </c>
    </row>
    <row r="184" spans="1:19" ht="15.75" thickBot="1" x14ac:dyDescent="0.25">
      <c r="A184" s="185">
        <v>1</v>
      </c>
      <c r="B184" s="186" t="str">
        <f>CONCATENATE($B$183,".",TEXT(A184,"0000"))</f>
        <v>II-0016.0001</v>
      </c>
      <c r="C184" s="179" t="str">
        <f>CONCATENATE("S/PLANO ",K184)</f>
        <v>S/PLANO H-2465</v>
      </c>
      <c r="D184" s="202" t="s">
        <v>5</v>
      </c>
      <c r="G184" s="179"/>
      <c r="H184" s="227"/>
      <c r="I184" s="228" t="s">
        <v>1020</v>
      </c>
      <c r="J184" s="231"/>
      <c r="K184" s="267" t="s">
        <v>1290</v>
      </c>
      <c r="L184" s="231"/>
      <c r="M184" s="231"/>
      <c r="N184" s="231"/>
      <c r="O184" s="305" t="s">
        <v>5</v>
      </c>
      <c r="P184" s="179"/>
      <c r="Q184" s="179"/>
      <c r="R184" s="179"/>
      <c r="S184" s="179"/>
    </row>
    <row r="185" spans="1:19" ht="15.75" thickTop="1" x14ac:dyDescent="0.2">
      <c r="A185" s="185">
        <v>17</v>
      </c>
      <c r="B185" s="186" t="s">
        <v>1291</v>
      </c>
      <c r="C185" s="187" t="s">
        <v>1292</v>
      </c>
      <c r="D185" s="202"/>
      <c r="G185" s="179"/>
      <c r="H185" s="223">
        <v>17</v>
      </c>
      <c r="I185" s="225"/>
      <c r="J185" s="236"/>
      <c r="K185" s="293" t="s">
        <v>1292</v>
      </c>
      <c r="L185" s="236"/>
      <c r="M185" s="236"/>
      <c r="N185" s="236"/>
      <c r="O185" s="247"/>
      <c r="P185" s="179"/>
      <c r="Q185" s="194">
        <f>H185</f>
        <v>17</v>
      </c>
      <c r="R185" s="184" t="str">
        <f>CONCATENATE("II-",TEXT(Q185,"0000"))</f>
        <v>II-0017</v>
      </c>
      <c r="S185" s="195" t="str">
        <f>K185</f>
        <v>CARPETA</v>
      </c>
    </row>
    <row r="186" spans="1:19" x14ac:dyDescent="0.2">
      <c r="A186" s="185"/>
      <c r="B186" s="186"/>
      <c r="C186" s="187"/>
      <c r="D186" s="202"/>
      <c r="G186" s="179"/>
      <c r="H186" s="196"/>
      <c r="I186" s="197" t="s">
        <v>1020</v>
      </c>
      <c r="J186" s="202"/>
      <c r="K186" s="206" t="s">
        <v>1293</v>
      </c>
      <c r="L186" s="283"/>
      <c r="M186" s="205"/>
      <c r="N186" s="205"/>
      <c r="O186" s="238"/>
      <c r="P186" s="179"/>
      <c r="Q186" s="179"/>
      <c r="R186" s="179"/>
      <c r="S186" s="179"/>
    </row>
    <row r="187" spans="1:19" x14ac:dyDescent="0.2">
      <c r="A187" s="185">
        <v>1</v>
      </c>
      <c r="B187" s="186" t="str">
        <f>CONCATENATE($B$185,".",TEXT(A187,"0000"))</f>
        <v>II-0017.0001</v>
      </c>
      <c r="C187" s="179" t="str">
        <f>CONCATENATE($K$186," ",L187)</f>
        <v>MEZCLA BITUMINOSA DE CONCRETO ASFALTICO MEZCLA EN CALIENTE</v>
      </c>
      <c r="D187" s="202" t="s">
        <v>1214</v>
      </c>
      <c r="G187" s="179"/>
      <c r="H187" s="196"/>
      <c r="I187" s="203"/>
      <c r="J187" s="204">
        <v>1</v>
      </c>
      <c r="K187" s="206"/>
      <c r="L187" s="283" t="s">
        <v>1294</v>
      </c>
      <c r="M187" s="282"/>
      <c r="N187" s="205"/>
      <c r="O187" s="238" t="s">
        <v>1214</v>
      </c>
      <c r="P187" s="179"/>
      <c r="Q187" s="179"/>
      <c r="R187" s="179"/>
      <c r="S187" s="179"/>
    </row>
    <row r="188" spans="1:19" x14ac:dyDescent="0.2">
      <c r="A188" s="185">
        <v>2</v>
      </c>
      <c r="B188" s="186" t="str">
        <f t="shared" ref="B188:B192" si="34">CONCATENATE($B$185,".",TEXT(A188,"0000"))</f>
        <v>II-0017.0002</v>
      </c>
      <c r="C188" s="179" t="str">
        <f>CONCATENATE($K$186," ",L188)</f>
        <v>MEZCLA BITUMINOSA DE CONCRETO ASFALTICO MEZCLA EN FRIO</v>
      </c>
      <c r="D188" s="202" t="s">
        <v>1214</v>
      </c>
      <c r="G188" s="179"/>
      <c r="H188" s="196"/>
      <c r="I188" s="203"/>
      <c r="J188" s="210">
        <v>2</v>
      </c>
      <c r="K188" s="212"/>
      <c r="L188" s="212" t="s">
        <v>1295</v>
      </c>
      <c r="M188" s="211"/>
      <c r="N188" s="211"/>
      <c r="O188" s="257" t="s">
        <v>1214</v>
      </c>
      <c r="P188" s="179"/>
      <c r="Q188" s="179"/>
      <c r="R188" s="179"/>
      <c r="S188" s="179"/>
    </row>
    <row r="189" spans="1:19" x14ac:dyDescent="0.2">
      <c r="A189" s="185"/>
      <c r="B189" s="186"/>
      <c r="C189" s="187"/>
      <c r="D189" s="202"/>
      <c r="G189" s="179"/>
      <c r="H189" s="196"/>
      <c r="I189" s="197" t="s">
        <v>1047</v>
      </c>
      <c r="J189" s="202"/>
      <c r="K189" s="206" t="s">
        <v>1296</v>
      </c>
      <c r="L189" s="283"/>
      <c r="M189" s="205"/>
      <c r="N189" s="205"/>
      <c r="O189" s="238"/>
      <c r="P189" s="179"/>
      <c r="Q189" s="179"/>
      <c r="R189" s="179"/>
      <c r="S189" s="179"/>
    </row>
    <row r="190" spans="1:19" x14ac:dyDescent="0.2">
      <c r="A190" s="185">
        <v>11</v>
      </c>
      <c r="B190" s="186" t="str">
        <f t="shared" si="34"/>
        <v>II-0017.0011</v>
      </c>
      <c r="C190" s="179" t="str">
        <f>CONCATENATE($K$189," ",L190)</f>
        <v>CARPETA DE BAJO ESPESOR MEZCLA EN CALIENTE</v>
      </c>
      <c r="D190" s="202" t="s">
        <v>1214</v>
      </c>
      <c r="G190" s="179"/>
      <c r="H190" s="196"/>
      <c r="I190" s="203"/>
      <c r="J190" s="204">
        <v>1</v>
      </c>
      <c r="K190" s="206"/>
      <c r="L190" s="283" t="s">
        <v>1294</v>
      </c>
      <c r="M190" s="282"/>
      <c r="N190" s="282"/>
      <c r="O190" s="238" t="s">
        <v>1214</v>
      </c>
      <c r="P190" s="179"/>
      <c r="Q190" s="179"/>
      <c r="R190" s="179"/>
      <c r="S190" s="179"/>
    </row>
    <row r="191" spans="1:19" x14ac:dyDescent="0.2">
      <c r="A191" s="185">
        <v>12</v>
      </c>
      <c r="B191" s="186" t="str">
        <f t="shared" si="34"/>
        <v>II-0017.0012</v>
      </c>
      <c r="C191" s="179" t="str">
        <f t="shared" ref="C191:C192" si="35">CONCATENATE($K$189," ",L191)</f>
        <v>CARPETA DE BAJO ESPESOR MEZCLA EN FRIO</v>
      </c>
      <c r="D191" s="202" t="s">
        <v>1214</v>
      </c>
      <c r="G191" s="179"/>
      <c r="H191" s="196"/>
      <c r="I191" s="203"/>
      <c r="J191" s="204">
        <v>2</v>
      </c>
      <c r="K191" s="206"/>
      <c r="L191" s="283" t="s">
        <v>1295</v>
      </c>
      <c r="M191" s="282"/>
      <c r="N191" s="282"/>
      <c r="O191" s="238" t="s">
        <v>1214</v>
      </c>
      <c r="P191" s="179"/>
      <c r="Q191" s="179"/>
      <c r="R191" s="179"/>
      <c r="S191" s="179"/>
    </row>
    <row r="192" spans="1:19" ht="15.75" thickBot="1" x14ac:dyDescent="0.25">
      <c r="A192" s="185">
        <v>13</v>
      </c>
      <c r="B192" s="186" t="str">
        <f t="shared" si="34"/>
        <v>II-0017.0013</v>
      </c>
      <c r="C192" s="179" t="str">
        <f t="shared" si="35"/>
        <v>CARPETA DE BAJO ESPESOR MICROAGLOMERADO</v>
      </c>
      <c r="D192" s="202" t="s">
        <v>1214</v>
      </c>
      <c r="G192" s="179"/>
      <c r="H192" s="196"/>
      <c r="I192" s="203"/>
      <c r="J192" s="204">
        <v>3</v>
      </c>
      <c r="K192" s="206"/>
      <c r="L192" s="283" t="s">
        <v>1285</v>
      </c>
      <c r="M192" s="282"/>
      <c r="N192" s="282"/>
      <c r="O192" s="238" t="s">
        <v>1214</v>
      </c>
      <c r="P192" s="179"/>
      <c r="Q192" s="179"/>
      <c r="R192" s="179"/>
      <c r="S192" s="179"/>
    </row>
    <row r="193" spans="1:19" ht="15.75" thickTop="1" x14ac:dyDescent="0.2">
      <c r="A193" s="185">
        <v>18</v>
      </c>
      <c r="B193" s="186" t="s">
        <v>1297</v>
      </c>
      <c r="C193" s="187" t="s">
        <v>1298</v>
      </c>
      <c r="D193" s="202"/>
      <c r="G193" s="179"/>
      <c r="H193" s="274">
        <v>18</v>
      </c>
      <c r="I193" s="224"/>
      <c r="J193" s="284"/>
      <c r="K193" s="285" t="s">
        <v>1298</v>
      </c>
      <c r="L193" s="284"/>
      <c r="M193" s="284"/>
      <c r="N193" s="284"/>
      <c r="O193" s="226"/>
      <c r="P193" s="179"/>
      <c r="Q193" s="194">
        <f>H193</f>
        <v>18</v>
      </c>
      <c r="R193" s="184" t="str">
        <f>CONCATENATE("II-",TEXT(Q193,"0000"))</f>
        <v>II-0018</v>
      </c>
      <c r="S193" s="195" t="str">
        <f>K193</f>
        <v>COLCHONETA ( PIEDRA EMBOLSADA)</v>
      </c>
    </row>
    <row r="194" spans="1:19" x14ac:dyDescent="0.2">
      <c r="A194" s="185">
        <v>1</v>
      </c>
      <c r="B194" s="186" t="str">
        <f>CONCATENATE($B$193,".",TEXT(A194,"0000"))</f>
        <v>II-0018.0001</v>
      </c>
      <c r="C194" s="179" t="str">
        <f>CONCATENATE(K194," ",L194)</f>
        <v xml:space="preserve">ELECTROSOLDADA </v>
      </c>
      <c r="D194" s="202" t="s">
        <v>1131</v>
      </c>
      <c r="G194" s="179"/>
      <c r="H194" s="314"/>
      <c r="I194" s="197" t="s">
        <v>1020</v>
      </c>
      <c r="J194" s="244"/>
      <c r="K194" s="265" t="s">
        <v>1299</v>
      </c>
      <c r="L194" s="244"/>
      <c r="M194" s="244"/>
      <c r="N194" s="244"/>
      <c r="O194" s="279" t="s">
        <v>1131</v>
      </c>
      <c r="P194" s="179"/>
      <c r="Q194" s="179"/>
      <c r="R194" s="179"/>
      <c r="S194" s="179"/>
    </row>
    <row r="195" spans="1:19" x14ac:dyDescent="0.2">
      <c r="A195" s="185">
        <v>2</v>
      </c>
      <c r="B195" s="186" t="str">
        <f t="shared" ref="B195:B197" si="36">CONCATENATE($B$193,".",TEXT(A195,"0000"))</f>
        <v>II-0018.0002</v>
      </c>
      <c r="C195" s="179" t="str">
        <f t="shared" ref="C195:C197" si="37">CONCATENATE(K195," ",L195)</f>
        <v xml:space="preserve">MALLA HEXAGONAL </v>
      </c>
      <c r="D195" s="202" t="s">
        <v>1131</v>
      </c>
      <c r="G195" s="179"/>
      <c r="H195" s="259"/>
      <c r="I195" s="197" t="s">
        <v>1047</v>
      </c>
      <c r="J195" s="244"/>
      <c r="K195" s="265" t="s">
        <v>1300</v>
      </c>
      <c r="L195" s="244"/>
      <c r="M195" s="244"/>
      <c r="N195" s="244"/>
      <c r="O195" s="279" t="s">
        <v>1131</v>
      </c>
      <c r="P195" s="179"/>
      <c r="Q195" s="179"/>
      <c r="R195" s="179"/>
      <c r="S195" s="179"/>
    </row>
    <row r="196" spans="1:19" x14ac:dyDescent="0.2">
      <c r="A196" s="185">
        <v>3</v>
      </c>
      <c r="B196" s="186" t="str">
        <f t="shared" si="36"/>
        <v>II-0018.0003</v>
      </c>
      <c r="C196" s="179" t="str">
        <f t="shared" si="37"/>
        <v xml:space="preserve">REPARACION </v>
      </c>
      <c r="D196" s="202" t="s">
        <v>1131</v>
      </c>
      <c r="G196" s="179"/>
      <c r="H196" s="259"/>
      <c r="I196" s="197" t="s">
        <v>1057</v>
      </c>
      <c r="J196" s="244"/>
      <c r="K196" s="265" t="s">
        <v>1134</v>
      </c>
      <c r="L196" s="244"/>
      <c r="M196" s="244"/>
      <c r="N196" s="244"/>
      <c r="O196" s="279" t="s">
        <v>1131</v>
      </c>
      <c r="P196" s="179"/>
      <c r="Q196" s="179"/>
      <c r="R196" s="179"/>
      <c r="S196" s="179"/>
    </row>
    <row r="197" spans="1:19" x14ac:dyDescent="0.2">
      <c r="A197" s="185">
        <v>4</v>
      </c>
      <c r="B197" s="186" t="str">
        <f t="shared" si="36"/>
        <v>II-0018.0004</v>
      </c>
      <c r="C197" s="179" t="str">
        <f t="shared" si="37"/>
        <v xml:space="preserve">RETIRO  </v>
      </c>
      <c r="D197" s="202" t="s">
        <v>1131</v>
      </c>
      <c r="G197" s="179"/>
      <c r="H197" s="259"/>
      <c r="I197" s="197" t="s">
        <v>1083</v>
      </c>
      <c r="J197" s="244"/>
      <c r="K197" s="265" t="s">
        <v>1139</v>
      </c>
      <c r="L197" s="244"/>
      <c r="M197" s="244"/>
      <c r="N197" s="244"/>
      <c r="O197" s="279" t="s">
        <v>1131</v>
      </c>
      <c r="P197" s="179"/>
      <c r="Q197" s="179"/>
      <c r="R197" s="179"/>
      <c r="S197" s="179"/>
    </row>
    <row r="198" spans="1:19" ht="15.75" thickBot="1" x14ac:dyDescent="0.25">
      <c r="A198" s="185"/>
      <c r="B198" s="186"/>
      <c r="C198" s="187"/>
      <c r="D198" s="202" t="s">
        <v>1131</v>
      </c>
      <c r="G198" s="179"/>
      <c r="H198" s="266"/>
      <c r="I198" s="228" t="s">
        <v>1125</v>
      </c>
      <c r="J198" s="231"/>
      <c r="K198" s="267" t="s">
        <v>1257</v>
      </c>
      <c r="L198" s="231"/>
      <c r="M198" s="231"/>
      <c r="N198" s="231"/>
      <c r="O198" s="305" t="s">
        <v>1131</v>
      </c>
      <c r="P198" s="179"/>
      <c r="Q198" s="179"/>
      <c r="R198" s="179"/>
      <c r="S198" s="179"/>
    </row>
    <row r="199" spans="1:19" ht="15.75" thickTop="1" x14ac:dyDescent="0.2">
      <c r="A199" s="185">
        <v>19</v>
      </c>
      <c r="B199" s="186" t="s">
        <v>1301</v>
      </c>
      <c r="C199" s="187" t="s">
        <v>1302</v>
      </c>
      <c r="D199" s="202"/>
      <c r="G199" s="205"/>
      <c r="H199" s="223">
        <v>19</v>
      </c>
      <c r="I199" s="225"/>
      <c r="J199" s="236"/>
      <c r="K199" s="293" t="s">
        <v>1302</v>
      </c>
      <c r="L199" s="236"/>
      <c r="M199" s="236"/>
      <c r="N199" s="236"/>
      <c r="O199" s="247"/>
      <c r="P199" s="205"/>
      <c r="Q199" s="194">
        <f>H199</f>
        <v>19</v>
      </c>
      <c r="R199" s="184" t="str">
        <f>CONCATENATE("II-",TEXT(Q199,"0000"))</f>
        <v>II-0019</v>
      </c>
      <c r="S199" s="195" t="str">
        <f>K199</f>
        <v>CORDONES</v>
      </c>
    </row>
    <row r="200" spans="1:19" x14ac:dyDescent="0.2">
      <c r="A200" s="185"/>
      <c r="B200" s="186"/>
      <c r="C200" s="187"/>
      <c r="D200" s="202"/>
      <c r="G200" s="205"/>
      <c r="H200" s="237"/>
      <c r="I200" s="197" t="s">
        <v>1020</v>
      </c>
      <c r="J200" s="203"/>
      <c r="K200" s="206" t="s">
        <v>1303</v>
      </c>
      <c r="L200" s="205"/>
      <c r="M200" s="205"/>
      <c r="N200" s="205"/>
      <c r="O200" s="238"/>
      <c r="P200" s="205"/>
      <c r="Q200" s="205"/>
      <c r="R200" s="205"/>
      <c r="S200" s="205"/>
    </row>
    <row r="201" spans="1:19" x14ac:dyDescent="0.2">
      <c r="A201" s="185">
        <v>1</v>
      </c>
      <c r="B201" s="187"/>
      <c r="C201" s="179" t="str">
        <f>CONCATENATE("S/PLANO ",$K$200," - TIPO ",L201 )</f>
        <v>S/PLANO H-8431 - TIPO A</v>
      </c>
      <c r="D201" s="202" t="s">
        <v>1256</v>
      </c>
      <c r="G201" s="179"/>
      <c r="H201" s="196"/>
      <c r="I201" s="203"/>
      <c r="J201" s="204">
        <v>1</v>
      </c>
      <c r="K201" s="205"/>
      <c r="L201" s="206" t="s">
        <v>1020</v>
      </c>
      <c r="M201" s="205"/>
      <c r="N201" s="205"/>
      <c r="O201" s="238" t="s">
        <v>1256</v>
      </c>
      <c r="P201" s="179"/>
      <c r="Q201" s="179"/>
      <c r="R201" s="179"/>
      <c r="S201" s="179"/>
    </row>
    <row r="202" spans="1:19" x14ac:dyDescent="0.2">
      <c r="A202" s="185">
        <v>2</v>
      </c>
      <c r="B202" s="186"/>
      <c r="C202" s="179" t="str">
        <f t="shared" ref="C202:C203" si="38">CONCATENATE("S/PLANO ",$K$200," - TIPO ",L202 )</f>
        <v>S/PLANO H-8431 - TIPO B</v>
      </c>
      <c r="D202" s="202" t="s">
        <v>1256</v>
      </c>
      <c r="G202" s="179"/>
      <c r="H202" s="196"/>
      <c r="I202" s="203"/>
      <c r="J202" s="204">
        <v>2</v>
      </c>
      <c r="K202" s="205"/>
      <c r="L202" s="206" t="s">
        <v>1047</v>
      </c>
      <c r="M202" s="205"/>
      <c r="N202" s="205"/>
      <c r="O202" s="238" t="s">
        <v>1256</v>
      </c>
      <c r="P202" s="179"/>
      <c r="Q202" s="179"/>
      <c r="R202" s="179"/>
      <c r="S202" s="179"/>
    </row>
    <row r="203" spans="1:19" ht="15.75" thickBot="1" x14ac:dyDescent="0.25">
      <c r="A203" s="185">
        <v>3</v>
      </c>
      <c r="B203" s="187"/>
      <c r="C203" s="179" t="str">
        <f t="shared" si="38"/>
        <v>S/PLANO H-8431 - TIPO C</v>
      </c>
      <c r="D203" s="202" t="s">
        <v>1256</v>
      </c>
      <c r="G203" s="179"/>
      <c r="H203" s="249"/>
      <c r="I203" s="250"/>
      <c r="J203" s="251">
        <v>3</v>
      </c>
      <c r="K203" s="252"/>
      <c r="L203" s="253" t="s">
        <v>1057</v>
      </c>
      <c r="M203" s="252"/>
      <c r="N203" s="252"/>
      <c r="O203" s="307" t="s">
        <v>1256</v>
      </c>
      <c r="P203" s="179"/>
      <c r="Q203" s="179"/>
      <c r="R203" s="179"/>
      <c r="S203" s="179"/>
    </row>
    <row r="204" spans="1:19" x14ac:dyDescent="0.2">
      <c r="A204" s="185"/>
      <c r="B204" s="186"/>
      <c r="C204" s="187"/>
      <c r="D204" s="202"/>
      <c r="G204" s="179"/>
      <c r="H204" s="183"/>
      <c r="I204" s="184"/>
      <c r="J204" s="179"/>
      <c r="K204" s="179"/>
      <c r="L204" s="179"/>
      <c r="M204" s="179"/>
      <c r="N204" s="179"/>
      <c r="O204" s="182"/>
      <c r="P204" s="179"/>
      <c r="Q204" s="179"/>
      <c r="R204" s="179"/>
      <c r="S204" s="179"/>
    </row>
    <row r="205" spans="1:19" x14ac:dyDescent="0.2">
      <c r="A205" s="185"/>
      <c r="B205" s="178"/>
      <c r="C205" s="187"/>
      <c r="D205" s="202"/>
      <c r="G205" s="205"/>
      <c r="H205" s="223">
        <v>19</v>
      </c>
      <c r="I205" s="225"/>
      <c r="J205" s="236"/>
      <c r="K205" s="293" t="s">
        <v>1302</v>
      </c>
      <c r="L205" s="236"/>
      <c r="M205" s="236"/>
      <c r="N205" s="236"/>
      <c r="O205" s="247"/>
      <c r="P205" s="205"/>
      <c r="Q205" s="205"/>
      <c r="R205" s="205"/>
      <c r="S205" s="205"/>
    </row>
    <row r="206" spans="1:19" x14ac:dyDescent="0.2">
      <c r="A206" s="185"/>
      <c r="B206" s="186"/>
      <c r="C206" s="187"/>
      <c r="D206" s="202"/>
      <c r="G206" s="282"/>
      <c r="H206" s="280"/>
      <c r="I206" s="197" t="s">
        <v>1020</v>
      </c>
      <c r="J206" s="203"/>
      <c r="K206" s="206" t="s">
        <v>1303</v>
      </c>
      <c r="L206" s="282"/>
      <c r="M206" s="282"/>
      <c r="N206" s="282"/>
      <c r="O206" s="269"/>
      <c r="P206" s="282"/>
      <c r="Q206" s="282"/>
      <c r="R206" s="282"/>
      <c r="S206" s="282"/>
    </row>
    <row r="207" spans="1:19" x14ac:dyDescent="0.2">
      <c r="A207" s="185"/>
      <c r="B207" s="178"/>
      <c r="C207" s="187"/>
      <c r="D207" s="202" t="s">
        <v>1256</v>
      </c>
      <c r="G207" s="179"/>
      <c r="H207" s="196"/>
      <c r="I207" s="203"/>
      <c r="J207" s="294">
        <v>4</v>
      </c>
      <c r="K207" s="205"/>
      <c r="L207" s="206" t="s">
        <v>1083</v>
      </c>
      <c r="M207" s="205"/>
      <c r="N207" s="205"/>
      <c r="O207" s="238" t="s">
        <v>1256</v>
      </c>
      <c r="P207" s="179"/>
      <c r="Q207" s="179"/>
      <c r="R207" s="179"/>
      <c r="S207" s="179"/>
    </row>
    <row r="208" spans="1:19" x14ac:dyDescent="0.2">
      <c r="A208" s="185"/>
      <c r="B208" s="186"/>
      <c r="C208" s="187"/>
      <c r="D208" s="202" t="s">
        <v>1256</v>
      </c>
      <c r="G208" s="179"/>
      <c r="H208" s="196"/>
      <c r="I208" s="203"/>
      <c r="J208" s="294">
        <v>5</v>
      </c>
      <c r="K208" s="205"/>
      <c r="L208" s="206" t="s">
        <v>1125</v>
      </c>
      <c r="M208" s="205"/>
      <c r="N208" s="205"/>
      <c r="O208" s="238" t="s">
        <v>1256</v>
      </c>
      <c r="P208" s="179"/>
      <c r="Q208" s="179"/>
      <c r="R208" s="179"/>
      <c r="S208" s="179"/>
    </row>
    <row r="209" spans="1:19" x14ac:dyDescent="0.2">
      <c r="A209" s="185"/>
      <c r="B209" s="178"/>
      <c r="C209" s="187"/>
      <c r="D209" s="202" t="s">
        <v>1256</v>
      </c>
      <c r="G209" s="179"/>
      <c r="H209" s="196"/>
      <c r="I209" s="203"/>
      <c r="J209" s="294">
        <v>6</v>
      </c>
      <c r="K209" s="205"/>
      <c r="L209" s="206" t="s">
        <v>1128</v>
      </c>
      <c r="M209" s="205"/>
      <c r="N209" s="205"/>
      <c r="O209" s="238" t="s">
        <v>1256</v>
      </c>
      <c r="P209" s="179"/>
      <c r="Q209" s="179"/>
      <c r="R209" s="179"/>
      <c r="S209" s="179"/>
    </row>
    <row r="210" spans="1:19" x14ac:dyDescent="0.2">
      <c r="A210" s="185"/>
      <c r="B210" s="178"/>
      <c r="C210" s="187"/>
      <c r="D210" s="202" t="s">
        <v>1256</v>
      </c>
      <c r="G210" s="179"/>
      <c r="H210" s="196"/>
      <c r="I210" s="203"/>
      <c r="J210" s="294">
        <v>7</v>
      </c>
      <c r="K210" s="205"/>
      <c r="L210" s="206" t="s">
        <v>1132</v>
      </c>
      <c r="M210" s="205"/>
      <c r="N210" s="205"/>
      <c r="O210" s="238" t="s">
        <v>1256</v>
      </c>
      <c r="P210" s="179"/>
      <c r="Q210" s="179"/>
      <c r="R210" s="179"/>
      <c r="S210" s="179"/>
    </row>
    <row r="211" spans="1:19" x14ac:dyDescent="0.2">
      <c r="A211" s="185"/>
      <c r="B211" s="208"/>
      <c r="C211" s="209"/>
      <c r="D211" s="202" t="s">
        <v>1256</v>
      </c>
      <c r="G211" s="179"/>
      <c r="H211" s="196"/>
      <c r="I211" s="203"/>
      <c r="J211" s="294">
        <v>8</v>
      </c>
      <c r="K211" s="205"/>
      <c r="L211" s="206" t="s">
        <v>1135</v>
      </c>
      <c r="M211" s="205"/>
      <c r="N211" s="205"/>
      <c r="O211" s="238" t="s">
        <v>1256</v>
      </c>
      <c r="P211" s="179"/>
      <c r="Q211" s="179"/>
      <c r="R211" s="179"/>
      <c r="S211" s="179"/>
    </row>
    <row r="212" spans="1:19" x14ac:dyDescent="0.2">
      <c r="A212" s="185"/>
      <c r="B212" s="186"/>
      <c r="C212" s="187"/>
      <c r="D212" s="202" t="s">
        <v>1256</v>
      </c>
      <c r="G212" s="179"/>
      <c r="H212" s="196"/>
      <c r="I212" s="203"/>
      <c r="J212" s="294">
        <v>9</v>
      </c>
      <c r="K212" s="205"/>
      <c r="L212" s="206" t="s">
        <v>889</v>
      </c>
      <c r="M212" s="205"/>
      <c r="N212" s="205"/>
      <c r="O212" s="238" t="s">
        <v>1256</v>
      </c>
      <c r="P212" s="179"/>
      <c r="Q212" s="179"/>
      <c r="R212" s="179"/>
      <c r="S212" s="179"/>
    </row>
    <row r="213" spans="1:19" x14ac:dyDescent="0.2">
      <c r="A213" s="185"/>
      <c r="B213" s="186"/>
      <c r="C213" s="187"/>
      <c r="D213" s="202" t="s">
        <v>1256</v>
      </c>
      <c r="G213" s="179"/>
      <c r="H213" s="196"/>
      <c r="I213" s="215"/>
      <c r="J213" s="295">
        <v>10</v>
      </c>
      <c r="K213" s="211"/>
      <c r="L213" s="212" t="s">
        <v>1140</v>
      </c>
      <c r="M213" s="211"/>
      <c r="N213" s="211"/>
      <c r="O213" s="257" t="s">
        <v>1256</v>
      </c>
      <c r="P213" s="179"/>
      <c r="Q213" s="179"/>
      <c r="R213" s="179"/>
      <c r="S213" s="179"/>
    </row>
    <row r="214" spans="1:19" x14ac:dyDescent="0.2">
      <c r="A214" s="185"/>
      <c r="B214" s="186"/>
      <c r="C214" s="187"/>
      <c r="D214" s="202" t="s">
        <v>1256</v>
      </c>
      <c r="G214" s="179"/>
      <c r="H214" s="196"/>
      <c r="I214" s="210" t="s">
        <v>1047</v>
      </c>
      <c r="J214" s="203"/>
      <c r="K214" s="206" t="s">
        <v>1304</v>
      </c>
      <c r="L214" s="205"/>
      <c r="M214" s="205"/>
      <c r="N214" s="205"/>
      <c r="O214" s="238" t="s">
        <v>1256</v>
      </c>
      <c r="P214" s="179"/>
      <c r="Q214" s="179"/>
      <c r="R214" s="179"/>
      <c r="S214" s="179"/>
    </row>
    <row r="215" spans="1:19" x14ac:dyDescent="0.2">
      <c r="A215" s="185"/>
      <c r="B215" s="186"/>
      <c r="C215" s="187"/>
      <c r="D215" s="202" t="s">
        <v>1256</v>
      </c>
      <c r="G215" s="179"/>
      <c r="H215" s="196"/>
      <c r="I215" s="203"/>
      <c r="J215" s="204">
        <v>1</v>
      </c>
      <c r="K215" s="205"/>
      <c r="L215" s="206" t="s">
        <v>1020</v>
      </c>
      <c r="M215" s="205"/>
      <c r="N215" s="205"/>
      <c r="O215" s="238" t="s">
        <v>1256</v>
      </c>
      <c r="P215" s="179"/>
      <c r="Q215" s="179"/>
      <c r="R215" s="179"/>
      <c r="S215" s="179"/>
    </row>
    <row r="216" spans="1:19" x14ac:dyDescent="0.2">
      <c r="A216" s="185"/>
      <c r="B216" s="186"/>
      <c r="C216" s="187"/>
      <c r="D216" s="202" t="s">
        <v>1256</v>
      </c>
      <c r="G216" s="179"/>
      <c r="H216" s="196"/>
      <c r="I216" s="203"/>
      <c r="J216" s="204">
        <v>2</v>
      </c>
      <c r="K216" s="205"/>
      <c r="L216" s="206" t="s">
        <v>1047</v>
      </c>
      <c r="M216" s="205"/>
      <c r="N216" s="205"/>
      <c r="O216" s="238" t="s">
        <v>1256</v>
      </c>
      <c r="P216" s="179"/>
      <c r="Q216" s="179"/>
      <c r="R216" s="179"/>
      <c r="S216" s="179"/>
    </row>
    <row r="217" spans="1:19" x14ac:dyDescent="0.2">
      <c r="A217" s="185"/>
      <c r="B217" s="178"/>
      <c r="C217" s="187"/>
      <c r="D217" s="202" t="s">
        <v>1256</v>
      </c>
      <c r="G217" s="179"/>
      <c r="H217" s="196"/>
      <c r="I217" s="203"/>
      <c r="J217" s="204">
        <v>3</v>
      </c>
      <c r="K217" s="205"/>
      <c r="L217" s="206" t="s">
        <v>1057</v>
      </c>
      <c r="M217" s="205"/>
      <c r="N217" s="205"/>
      <c r="O217" s="238" t="s">
        <v>1256</v>
      </c>
      <c r="P217" s="179"/>
      <c r="Q217" s="179"/>
      <c r="R217" s="179"/>
      <c r="S217" s="179"/>
    </row>
    <row r="218" spans="1:19" x14ac:dyDescent="0.2">
      <c r="A218" s="185"/>
      <c r="B218" s="208"/>
      <c r="C218" s="209"/>
      <c r="D218" s="202" t="s">
        <v>1256</v>
      </c>
      <c r="G218" s="179"/>
      <c r="H218" s="196"/>
      <c r="I218" s="203"/>
      <c r="J218" s="294">
        <v>4</v>
      </c>
      <c r="K218" s="205"/>
      <c r="L218" s="206" t="s">
        <v>1083</v>
      </c>
      <c r="M218" s="205"/>
      <c r="N218" s="205"/>
      <c r="O218" s="238" t="s">
        <v>1256</v>
      </c>
      <c r="P218" s="179"/>
      <c r="Q218" s="179"/>
      <c r="R218" s="179"/>
      <c r="S218" s="179"/>
    </row>
    <row r="219" spans="1:19" x14ac:dyDescent="0.2">
      <c r="A219" s="185"/>
      <c r="B219" s="186"/>
      <c r="C219" s="187"/>
      <c r="D219" s="202" t="s">
        <v>1256</v>
      </c>
      <c r="G219" s="179"/>
      <c r="H219" s="196"/>
      <c r="I219" s="179"/>
      <c r="J219" s="294">
        <v>5</v>
      </c>
      <c r="K219" s="205"/>
      <c r="L219" s="206" t="s">
        <v>1125</v>
      </c>
      <c r="M219" s="205"/>
      <c r="N219" s="205"/>
      <c r="O219" s="238" t="s">
        <v>1256</v>
      </c>
      <c r="P219" s="179"/>
      <c r="Q219" s="179"/>
      <c r="R219" s="179"/>
      <c r="S219" s="179"/>
    </row>
    <row r="220" spans="1:19" x14ac:dyDescent="0.2">
      <c r="A220" s="185"/>
      <c r="B220" s="186"/>
      <c r="C220" s="187"/>
      <c r="D220" s="202" t="s">
        <v>1256</v>
      </c>
      <c r="G220" s="179"/>
      <c r="H220" s="196"/>
      <c r="I220" s="179"/>
      <c r="J220" s="294">
        <v>6</v>
      </c>
      <c r="K220" s="205"/>
      <c r="L220" s="206" t="s">
        <v>1128</v>
      </c>
      <c r="M220" s="205"/>
      <c r="N220" s="205"/>
      <c r="O220" s="238" t="s">
        <v>1256</v>
      </c>
      <c r="P220" s="179"/>
      <c r="Q220" s="179"/>
      <c r="R220" s="179"/>
      <c r="S220" s="179"/>
    </row>
    <row r="221" spans="1:19" x14ac:dyDescent="0.2">
      <c r="A221" s="185"/>
      <c r="B221" s="178"/>
      <c r="C221" s="187"/>
      <c r="D221" s="202" t="s">
        <v>1256</v>
      </c>
      <c r="G221" s="179"/>
      <c r="H221" s="196"/>
      <c r="I221" s="203"/>
      <c r="J221" s="294">
        <v>7</v>
      </c>
      <c r="K221" s="205"/>
      <c r="L221" s="206" t="s">
        <v>1132</v>
      </c>
      <c r="M221" s="205"/>
      <c r="N221" s="205"/>
      <c r="O221" s="238" t="s">
        <v>1256</v>
      </c>
      <c r="P221" s="179"/>
      <c r="Q221" s="179"/>
      <c r="R221" s="179"/>
      <c r="S221" s="179"/>
    </row>
    <row r="222" spans="1:19" x14ac:dyDescent="0.2">
      <c r="A222" s="185"/>
      <c r="B222" s="178"/>
      <c r="C222" s="187"/>
      <c r="D222" s="202" t="s">
        <v>1256</v>
      </c>
      <c r="G222" s="179"/>
      <c r="H222" s="196"/>
      <c r="I222" s="203"/>
      <c r="J222" s="294">
        <v>8</v>
      </c>
      <c r="K222" s="205"/>
      <c r="L222" s="206" t="s">
        <v>1135</v>
      </c>
      <c r="M222" s="205"/>
      <c r="N222" s="205"/>
      <c r="O222" s="238" t="s">
        <v>1256</v>
      </c>
      <c r="P222" s="179"/>
      <c r="Q222" s="179"/>
      <c r="R222" s="179"/>
      <c r="S222" s="179"/>
    </row>
    <row r="223" spans="1:19" x14ac:dyDescent="0.2">
      <c r="A223" s="185"/>
      <c r="B223" s="178"/>
      <c r="C223" s="187"/>
      <c r="D223" s="202" t="s">
        <v>1256</v>
      </c>
      <c r="G223" s="179"/>
      <c r="H223" s="196"/>
      <c r="I223" s="203"/>
      <c r="J223" s="294">
        <v>9</v>
      </c>
      <c r="K223" s="205"/>
      <c r="L223" s="206" t="s">
        <v>889</v>
      </c>
      <c r="M223" s="205"/>
      <c r="N223" s="205"/>
      <c r="O223" s="238" t="s">
        <v>1256</v>
      </c>
      <c r="P223" s="179"/>
      <c r="Q223" s="179"/>
      <c r="R223" s="179"/>
      <c r="S223" s="179"/>
    </row>
    <row r="224" spans="1:19" x14ac:dyDescent="0.2">
      <c r="A224" s="185"/>
      <c r="B224" s="208"/>
      <c r="C224" s="209"/>
      <c r="D224" s="202" t="s">
        <v>1256</v>
      </c>
      <c r="G224" s="179"/>
      <c r="H224" s="196"/>
      <c r="I224" s="203"/>
      <c r="J224" s="295">
        <v>10</v>
      </c>
      <c r="K224" s="211"/>
      <c r="L224" s="206" t="s">
        <v>1140</v>
      </c>
      <c r="M224" s="205"/>
      <c r="N224" s="205"/>
      <c r="O224" s="238" t="s">
        <v>1256</v>
      </c>
      <c r="P224" s="179"/>
      <c r="Q224" s="179"/>
      <c r="R224" s="179"/>
      <c r="S224" s="179"/>
    </row>
    <row r="225" spans="1:19" x14ac:dyDescent="0.2">
      <c r="A225" s="185"/>
      <c r="B225" s="186"/>
      <c r="C225" s="187"/>
      <c r="D225" s="202" t="s">
        <v>1256</v>
      </c>
      <c r="G225" s="179"/>
      <c r="H225" s="196"/>
      <c r="I225" s="197" t="s">
        <v>1057</v>
      </c>
      <c r="J225" s="244"/>
      <c r="K225" s="212" t="s">
        <v>1305</v>
      </c>
      <c r="L225" s="244"/>
      <c r="M225" s="244"/>
      <c r="N225" s="244"/>
      <c r="O225" s="279" t="s">
        <v>1256</v>
      </c>
      <c r="P225" s="179"/>
      <c r="Q225" s="179"/>
      <c r="R225" s="179"/>
      <c r="S225" s="179"/>
    </row>
    <row r="226" spans="1:19" x14ac:dyDescent="0.2">
      <c r="A226" s="185"/>
      <c r="B226" s="186"/>
      <c r="C226" s="187"/>
      <c r="D226" s="202" t="s">
        <v>1256</v>
      </c>
      <c r="G226" s="179"/>
      <c r="H226" s="196"/>
      <c r="I226" s="197" t="s">
        <v>1083</v>
      </c>
      <c r="J226" s="244"/>
      <c r="K226" s="265" t="s">
        <v>1139</v>
      </c>
      <c r="L226" s="244"/>
      <c r="M226" s="244"/>
      <c r="N226" s="244"/>
      <c r="O226" s="238" t="s">
        <v>1256</v>
      </c>
      <c r="P226" s="179"/>
      <c r="Q226" s="179"/>
      <c r="R226" s="179"/>
      <c r="S226" s="179"/>
    </row>
    <row r="227" spans="1:19" ht="15.75" thickBot="1" x14ac:dyDescent="0.25">
      <c r="A227" s="185"/>
      <c r="B227" s="186"/>
      <c r="C227" s="187"/>
      <c r="D227" s="202" t="s">
        <v>1256</v>
      </c>
      <c r="G227" s="179"/>
      <c r="H227" s="216"/>
      <c r="I227" s="218" t="s">
        <v>1125</v>
      </c>
      <c r="J227" s="219"/>
      <c r="K227" s="220" t="s">
        <v>1306</v>
      </c>
      <c r="L227" s="219"/>
      <c r="M227" s="219"/>
      <c r="N227" s="219"/>
      <c r="O227" s="305" t="s">
        <v>1256</v>
      </c>
      <c r="P227" s="179"/>
      <c r="Q227" s="179"/>
      <c r="R227" s="179"/>
      <c r="S227" s="179"/>
    </row>
    <row r="228" spans="1:19" ht="16.5" thickTop="1" thickBot="1" x14ac:dyDescent="0.25">
      <c r="A228" s="185">
        <v>20</v>
      </c>
      <c r="B228" s="186" t="s">
        <v>1307</v>
      </c>
      <c r="C228" s="187" t="s">
        <v>1308</v>
      </c>
      <c r="D228" s="202" t="s">
        <v>997</v>
      </c>
      <c r="G228" s="179"/>
      <c r="H228" s="315">
        <v>20</v>
      </c>
      <c r="I228" s="316"/>
      <c r="J228" s="317"/>
      <c r="K228" s="318" t="s">
        <v>1308</v>
      </c>
      <c r="L228" s="317"/>
      <c r="M228" s="317"/>
      <c r="N228" s="317"/>
      <c r="O228" s="319" t="s">
        <v>997</v>
      </c>
      <c r="P228" s="179"/>
      <c r="Q228" s="194">
        <f>H228</f>
        <v>20</v>
      </c>
      <c r="R228" s="184" t="str">
        <f>CONCATENATE("II-",TEXT(Q228,"0000"))</f>
        <v>II-0020</v>
      </c>
      <c r="S228" s="195" t="str">
        <f>K228</f>
        <v>CORTE DE PASTO</v>
      </c>
    </row>
    <row r="229" spans="1:19" ht="15.75" thickTop="1" x14ac:dyDescent="0.2">
      <c r="A229" s="185">
        <v>21</v>
      </c>
      <c r="B229" s="186" t="s">
        <v>1309</v>
      </c>
      <c r="C229" s="187" t="s">
        <v>1310</v>
      </c>
      <c r="D229" s="202"/>
      <c r="G229" s="179"/>
      <c r="H229" s="274">
        <v>21</v>
      </c>
      <c r="I229" s="225"/>
      <c r="J229" s="236"/>
      <c r="K229" s="293" t="s">
        <v>1310</v>
      </c>
      <c r="L229" s="236"/>
      <c r="M229" s="236"/>
      <c r="N229" s="236"/>
      <c r="O229" s="247"/>
      <c r="P229" s="179"/>
      <c r="Q229" s="194">
        <f>H229</f>
        <v>21</v>
      </c>
      <c r="R229" s="184" t="str">
        <f>CONCATENATE("II-",TEXT(Q229,"0000"))</f>
        <v>II-0021</v>
      </c>
      <c r="S229" s="195" t="str">
        <f>K229</f>
        <v xml:space="preserve">CUNETA </v>
      </c>
    </row>
    <row r="230" spans="1:19" x14ac:dyDescent="0.2">
      <c r="A230" s="185"/>
      <c r="B230" s="186"/>
      <c r="C230" s="187"/>
      <c r="D230" s="202" t="s">
        <v>1131</v>
      </c>
      <c r="G230" s="258"/>
      <c r="H230" s="259"/>
      <c r="I230" s="260" t="s">
        <v>1020</v>
      </c>
      <c r="J230" s="297"/>
      <c r="K230" s="296" t="s">
        <v>1311</v>
      </c>
      <c r="L230" s="297"/>
      <c r="M230" s="297"/>
      <c r="N230" s="297"/>
      <c r="O230" s="263" t="s">
        <v>1131</v>
      </c>
      <c r="P230" s="258"/>
      <c r="Q230" s="258"/>
      <c r="R230" s="258"/>
      <c r="S230" s="258"/>
    </row>
    <row r="231" spans="1:19" x14ac:dyDescent="0.2">
      <c r="A231" s="185"/>
      <c r="B231" s="186"/>
      <c r="C231" s="187"/>
      <c r="D231" s="202" t="s">
        <v>1214</v>
      </c>
      <c r="G231" s="179"/>
      <c r="H231" s="259"/>
      <c r="I231" s="197" t="s">
        <v>1047</v>
      </c>
      <c r="J231" s="244"/>
      <c r="K231" s="265" t="s">
        <v>1134</v>
      </c>
      <c r="L231" s="244"/>
      <c r="M231" s="244"/>
      <c r="N231" s="244"/>
      <c r="O231" s="279" t="s">
        <v>1214</v>
      </c>
      <c r="P231" s="179"/>
      <c r="Q231" s="179"/>
      <c r="R231" s="179"/>
      <c r="S231" s="179"/>
    </row>
    <row r="232" spans="1:19" x14ac:dyDescent="0.2">
      <c r="A232" s="185"/>
      <c r="B232" s="186"/>
      <c r="C232" s="187"/>
      <c r="D232" s="202" t="s">
        <v>1256</v>
      </c>
      <c r="G232" s="179"/>
      <c r="H232" s="259"/>
      <c r="I232" s="197" t="s">
        <v>1057</v>
      </c>
      <c r="J232" s="244"/>
      <c r="K232" s="265" t="s">
        <v>1139</v>
      </c>
      <c r="L232" s="244"/>
      <c r="M232" s="244"/>
      <c r="N232" s="244"/>
      <c r="O232" s="279" t="s">
        <v>1256</v>
      </c>
      <c r="P232" s="179"/>
      <c r="Q232" s="179"/>
      <c r="R232" s="179"/>
      <c r="S232" s="179"/>
    </row>
    <row r="233" spans="1:19" x14ac:dyDescent="0.2">
      <c r="A233" s="185"/>
      <c r="B233" s="178"/>
      <c r="C233" s="187"/>
      <c r="D233" s="202" t="s">
        <v>996</v>
      </c>
      <c r="G233" s="179"/>
      <c r="H233" s="259"/>
      <c r="I233" s="197" t="s">
        <v>1083</v>
      </c>
      <c r="J233" s="244"/>
      <c r="K233" s="265" t="s">
        <v>1195</v>
      </c>
      <c r="L233" s="244"/>
      <c r="M233" s="244"/>
      <c r="N233" s="244"/>
      <c r="O233" s="279" t="s">
        <v>996</v>
      </c>
      <c r="P233" s="179"/>
      <c r="Q233" s="179"/>
      <c r="R233" s="179"/>
      <c r="S233" s="179"/>
    </row>
    <row r="234" spans="1:19" x14ac:dyDescent="0.2">
      <c r="A234" s="185"/>
      <c r="B234" s="178"/>
      <c r="C234" s="187"/>
      <c r="D234" s="202" t="s">
        <v>1131</v>
      </c>
      <c r="G234" s="179"/>
      <c r="H234" s="259"/>
      <c r="I234" s="197" t="s">
        <v>1125</v>
      </c>
      <c r="J234" s="244"/>
      <c r="K234" s="265" t="s">
        <v>1312</v>
      </c>
      <c r="L234" s="244"/>
      <c r="M234" s="244"/>
      <c r="N234" s="244"/>
      <c r="O234" s="279" t="s">
        <v>1131</v>
      </c>
      <c r="P234" s="179"/>
      <c r="Q234" s="179"/>
      <c r="R234" s="179"/>
      <c r="S234" s="179"/>
    </row>
    <row r="235" spans="1:19" ht="15.75" thickBot="1" x14ac:dyDescent="0.25">
      <c r="A235" s="185"/>
      <c r="B235" s="208"/>
      <c r="C235" s="209"/>
      <c r="D235" s="202" t="s">
        <v>996</v>
      </c>
      <c r="G235" s="179"/>
      <c r="H235" s="266"/>
      <c r="I235" s="228" t="s">
        <v>1128</v>
      </c>
      <c r="J235" s="231"/>
      <c r="K235" s="267" t="s">
        <v>1313</v>
      </c>
      <c r="L235" s="231"/>
      <c r="M235" s="231"/>
      <c r="N235" s="231"/>
      <c r="O235" s="305" t="s">
        <v>996</v>
      </c>
      <c r="P235" s="179"/>
      <c r="Q235" s="179"/>
      <c r="R235" s="179"/>
      <c r="S235" s="179"/>
    </row>
    <row r="236" spans="1:19" ht="16.5" thickTop="1" thickBot="1" x14ac:dyDescent="0.25">
      <c r="A236" s="185">
        <v>22</v>
      </c>
      <c r="B236" s="186" t="s">
        <v>1314</v>
      </c>
      <c r="C236" s="187" t="s">
        <v>1315</v>
      </c>
      <c r="D236" s="202" t="s">
        <v>5</v>
      </c>
      <c r="G236" s="179"/>
      <c r="H236" s="320">
        <v>22</v>
      </c>
      <c r="I236" s="321"/>
      <c r="J236" s="322"/>
      <c r="K236" s="323" t="s">
        <v>1315</v>
      </c>
      <c r="L236" s="322"/>
      <c r="M236" s="322"/>
      <c r="N236" s="322"/>
      <c r="O236" s="324" t="s">
        <v>5</v>
      </c>
      <c r="P236" s="179"/>
      <c r="Q236" s="194">
        <f>H236</f>
        <v>22</v>
      </c>
      <c r="R236" s="184" t="str">
        <f>CONCATENATE("II-",TEXT(Q236,"0000"))</f>
        <v>II-0022</v>
      </c>
      <c r="S236" s="195" t="str">
        <f>K236</f>
        <v>DARSENA DE DETENCION DE VEHICULOS</v>
      </c>
    </row>
    <row r="237" spans="1:19" ht="15.75" thickTop="1" x14ac:dyDescent="0.2">
      <c r="A237" s="185">
        <v>23</v>
      </c>
      <c r="B237" s="175" t="s">
        <v>1316</v>
      </c>
      <c r="C237" s="175" t="s">
        <v>1317</v>
      </c>
      <c r="D237" s="202"/>
      <c r="G237" s="179"/>
      <c r="H237" s="274">
        <v>23</v>
      </c>
      <c r="I237" s="224"/>
      <c r="J237" s="284"/>
      <c r="K237" s="285" t="s">
        <v>1317</v>
      </c>
      <c r="L237" s="284"/>
      <c r="M237" s="284"/>
      <c r="N237" s="284"/>
      <c r="O237" s="226"/>
      <c r="P237" s="179"/>
      <c r="Q237" s="194">
        <f>H237</f>
        <v>23</v>
      </c>
      <c r="R237" s="184" t="str">
        <f>CONCATENATE("II-",TEXT(Q237,"0000"))</f>
        <v>II-0023</v>
      </c>
      <c r="S237" s="195" t="str">
        <f>K237</f>
        <v>DEFENSA CAMINOS</v>
      </c>
    </row>
    <row r="238" spans="1:19" x14ac:dyDescent="0.2">
      <c r="A238" s="185"/>
      <c r="B238" s="175"/>
      <c r="C238" s="175"/>
      <c r="D238" s="202" t="s">
        <v>1214</v>
      </c>
      <c r="G238" s="179"/>
      <c r="H238" s="196"/>
      <c r="I238" s="197" t="s">
        <v>1020</v>
      </c>
      <c r="J238" s="244"/>
      <c r="K238" s="265" t="s">
        <v>1318</v>
      </c>
      <c r="L238" s="244"/>
      <c r="M238" s="244"/>
      <c r="N238" s="244"/>
      <c r="O238" s="279" t="s">
        <v>1214</v>
      </c>
      <c r="P238" s="179"/>
      <c r="Q238" s="179"/>
      <c r="R238" s="179"/>
      <c r="S238" s="179"/>
    </row>
    <row r="239" spans="1:19" x14ac:dyDescent="0.2">
      <c r="A239" s="185"/>
      <c r="B239" s="175"/>
      <c r="C239" s="175"/>
      <c r="D239" s="202" t="s">
        <v>1214</v>
      </c>
      <c r="G239" s="179"/>
      <c r="H239" s="196"/>
      <c r="I239" s="197" t="s">
        <v>1047</v>
      </c>
      <c r="J239" s="244"/>
      <c r="K239" s="265" t="s">
        <v>1319</v>
      </c>
      <c r="L239" s="244"/>
      <c r="M239" s="244"/>
      <c r="N239" s="244"/>
      <c r="O239" s="279" t="s">
        <v>1214</v>
      </c>
      <c r="P239" s="179"/>
      <c r="Q239" s="179"/>
      <c r="R239" s="179"/>
      <c r="S239" s="179"/>
    </row>
    <row r="240" spans="1:19" x14ac:dyDescent="0.2">
      <c r="A240" s="185"/>
      <c r="B240" s="175"/>
      <c r="C240" s="175"/>
      <c r="D240" s="202" t="s">
        <v>1214</v>
      </c>
      <c r="G240" s="179"/>
      <c r="H240" s="196"/>
      <c r="I240" s="197" t="s">
        <v>1057</v>
      </c>
      <c r="J240" s="244"/>
      <c r="K240" s="265" t="s">
        <v>1320</v>
      </c>
      <c r="L240" s="244"/>
      <c r="M240" s="244"/>
      <c r="N240" s="244"/>
      <c r="O240" s="279" t="s">
        <v>1214</v>
      </c>
      <c r="P240" s="179"/>
      <c r="Q240" s="179"/>
      <c r="R240" s="179"/>
      <c r="S240" s="179"/>
    </row>
    <row r="241" spans="1:19" x14ac:dyDescent="0.2">
      <c r="A241" s="185"/>
      <c r="B241" s="208"/>
      <c r="C241" s="209"/>
      <c r="D241" s="202" t="s">
        <v>1131</v>
      </c>
      <c r="G241" s="179"/>
      <c r="H241" s="196"/>
      <c r="I241" s="197" t="s">
        <v>1083</v>
      </c>
      <c r="J241" s="244"/>
      <c r="K241" s="265" t="s">
        <v>1321</v>
      </c>
      <c r="L241" s="244"/>
      <c r="M241" s="244"/>
      <c r="N241" s="244"/>
      <c r="O241" s="279" t="s">
        <v>1131</v>
      </c>
      <c r="P241" s="179"/>
      <c r="Q241" s="179"/>
      <c r="R241" s="179"/>
      <c r="S241" s="179"/>
    </row>
    <row r="242" spans="1:19" x14ac:dyDescent="0.2">
      <c r="A242" s="185"/>
      <c r="B242" s="186"/>
      <c r="C242" s="187"/>
      <c r="D242" s="202" t="s">
        <v>1131</v>
      </c>
      <c r="G242" s="179"/>
      <c r="H242" s="196"/>
      <c r="I242" s="197" t="s">
        <v>1125</v>
      </c>
      <c r="J242" s="244"/>
      <c r="K242" s="265" t="s">
        <v>1134</v>
      </c>
      <c r="L242" s="244"/>
      <c r="M242" s="244"/>
      <c r="N242" s="244"/>
      <c r="O242" s="279" t="s">
        <v>1131</v>
      </c>
      <c r="P242" s="179"/>
      <c r="Q242" s="179"/>
      <c r="R242" s="179"/>
      <c r="S242" s="179"/>
    </row>
    <row r="243" spans="1:19" x14ac:dyDescent="0.2">
      <c r="A243" s="185"/>
      <c r="B243" s="186"/>
      <c r="C243" s="187"/>
      <c r="D243" s="202" t="s">
        <v>1131</v>
      </c>
      <c r="G243" s="179"/>
      <c r="H243" s="196"/>
      <c r="I243" s="197" t="s">
        <v>1128</v>
      </c>
      <c r="J243" s="244"/>
      <c r="K243" s="265" t="s">
        <v>1089</v>
      </c>
      <c r="L243" s="244"/>
      <c r="M243" s="244"/>
      <c r="N243" s="244"/>
      <c r="O243" s="279" t="s">
        <v>1131</v>
      </c>
      <c r="P243" s="179"/>
      <c r="Q243" s="179"/>
      <c r="R243" s="179"/>
      <c r="S243" s="179"/>
    </row>
    <row r="244" spans="1:19" x14ac:dyDescent="0.2">
      <c r="A244" s="185"/>
      <c r="B244" s="186"/>
      <c r="C244" s="187"/>
      <c r="D244" s="202" t="s">
        <v>1131</v>
      </c>
      <c r="G244" s="179"/>
      <c r="H244" s="196"/>
      <c r="I244" s="197" t="s">
        <v>1132</v>
      </c>
      <c r="J244" s="244"/>
      <c r="K244" s="265" t="s">
        <v>1137</v>
      </c>
      <c r="L244" s="244"/>
      <c r="M244" s="244"/>
      <c r="N244" s="244"/>
      <c r="O244" s="279" t="s">
        <v>1131</v>
      </c>
      <c r="P244" s="179"/>
      <c r="Q244" s="179"/>
      <c r="R244" s="179"/>
      <c r="S244" s="179"/>
    </row>
    <row r="245" spans="1:19" ht="15.75" thickBot="1" x14ac:dyDescent="0.25">
      <c r="A245" s="185"/>
      <c r="B245" s="186"/>
      <c r="C245" s="187"/>
      <c r="D245" s="202" t="s">
        <v>1131</v>
      </c>
      <c r="G245" s="179"/>
      <c r="H245" s="216"/>
      <c r="I245" s="228" t="s">
        <v>1135</v>
      </c>
      <c r="J245" s="231"/>
      <c r="K245" s="267" t="s">
        <v>1322</v>
      </c>
      <c r="L245" s="231"/>
      <c r="M245" s="231"/>
      <c r="N245" s="231"/>
      <c r="O245" s="305" t="s">
        <v>1131</v>
      </c>
      <c r="P245" s="179"/>
      <c r="Q245" s="179"/>
      <c r="R245" s="179"/>
      <c r="S245" s="179"/>
    </row>
    <row r="246" spans="1:19" ht="15.75" thickTop="1" x14ac:dyDescent="0.2">
      <c r="A246" s="185">
        <v>24</v>
      </c>
      <c r="B246" s="178" t="s">
        <v>1323</v>
      </c>
      <c r="C246" s="187" t="s">
        <v>1324</v>
      </c>
      <c r="D246" s="202"/>
      <c r="G246" s="179"/>
      <c r="H246" s="274">
        <v>24</v>
      </c>
      <c r="I246" s="224"/>
      <c r="J246" s="284"/>
      <c r="K246" s="285" t="s">
        <v>1324</v>
      </c>
      <c r="L246" s="284"/>
      <c r="M246" s="284"/>
      <c r="N246" s="284"/>
      <c r="O246" s="226"/>
      <c r="P246" s="179"/>
      <c r="Q246" s="194">
        <f>H246</f>
        <v>24</v>
      </c>
      <c r="R246" s="184" t="str">
        <f>CONCATENATE("II-",TEXT(Q246,"0000"))</f>
        <v>II-0024</v>
      </c>
      <c r="S246" s="195" t="str">
        <f>K246</f>
        <v>DEFENSA DE MARGENES</v>
      </c>
    </row>
    <row r="247" spans="1:19" x14ac:dyDescent="0.2">
      <c r="A247" s="185"/>
      <c r="B247" s="178"/>
      <c r="C247" s="187"/>
      <c r="D247" s="202" t="s">
        <v>1214</v>
      </c>
      <c r="G247" s="179"/>
      <c r="H247" s="196"/>
      <c r="I247" s="197" t="s">
        <v>1020</v>
      </c>
      <c r="J247" s="244"/>
      <c r="K247" s="265" t="s">
        <v>1325</v>
      </c>
      <c r="L247" s="244"/>
      <c r="M247" s="244"/>
      <c r="N247" s="244"/>
      <c r="O247" s="279" t="s">
        <v>1214</v>
      </c>
      <c r="P247" s="179"/>
      <c r="Q247" s="179"/>
      <c r="R247" s="179"/>
      <c r="S247" s="179"/>
    </row>
    <row r="248" spans="1:19" x14ac:dyDescent="0.2">
      <c r="A248" s="185"/>
      <c r="B248" s="208"/>
      <c r="C248" s="209"/>
      <c r="D248" s="202" t="s">
        <v>1131</v>
      </c>
      <c r="G248" s="179"/>
      <c r="H248" s="196"/>
      <c r="I248" s="197" t="s">
        <v>1047</v>
      </c>
      <c r="J248" s="244"/>
      <c r="K248" s="265" t="s">
        <v>1326</v>
      </c>
      <c r="L248" s="244"/>
      <c r="M248" s="244"/>
      <c r="N248" s="244"/>
      <c r="O248" s="279" t="s">
        <v>1131</v>
      </c>
      <c r="P248" s="179"/>
      <c r="Q248" s="179"/>
      <c r="R248" s="179"/>
      <c r="S248" s="179"/>
    </row>
    <row r="249" spans="1:19" x14ac:dyDescent="0.2">
      <c r="A249" s="185"/>
      <c r="B249" s="186"/>
      <c r="C249" s="187"/>
      <c r="D249" s="202" t="s">
        <v>1131</v>
      </c>
      <c r="G249" s="179"/>
      <c r="H249" s="196"/>
      <c r="I249" s="210" t="s">
        <v>1057</v>
      </c>
      <c r="J249" s="211"/>
      <c r="K249" s="212" t="s">
        <v>1327</v>
      </c>
      <c r="L249" s="211"/>
      <c r="M249" s="211"/>
      <c r="N249" s="211"/>
      <c r="O249" s="257" t="s">
        <v>1131</v>
      </c>
      <c r="P249" s="179"/>
      <c r="Q249" s="179"/>
      <c r="R249" s="179"/>
      <c r="S249" s="179"/>
    </row>
    <row r="250" spans="1:19" x14ac:dyDescent="0.2">
      <c r="A250" s="185"/>
      <c r="B250" s="186"/>
      <c r="C250" s="187"/>
      <c r="D250" s="202" t="s">
        <v>1131</v>
      </c>
      <c r="G250" s="179"/>
      <c r="H250" s="196"/>
      <c r="I250" s="197" t="s">
        <v>1083</v>
      </c>
      <c r="J250" s="244"/>
      <c r="K250" s="265" t="s">
        <v>1328</v>
      </c>
      <c r="L250" s="244"/>
      <c r="M250" s="244"/>
      <c r="N250" s="244"/>
      <c r="O250" s="279" t="s">
        <v>1131</v>
      </c>
      <c r="P250" s="179"/>
      <c r="Q250" s="179"/>
      <c r="R250" s="179"/>
      <c r="S250" s="179"/>
    </row>
    <row r="251" spans="1:19" ht="15.75" thickBot="1" x14ac:dyDescent="0.25">
      <c r="A251" s="185"/>
      <c r="B251" s="186"/>
      <c r="C251" s="187"/>
      <c r="D251" s="202" t="s">
        <v>996</v>
      </c>
      <c r="G251" s="179"/>
      <c r="H251" s="249"/>
      <c r="I251" s="306" t="s">
        <v>1125</v>
      </c>
      <c r="J251" s="325"/>
      <c r="K251" s="326" t="s">
        <v>1329</v>
      </c>
      <c r="L251" s="325"/>
      <c r="M251" s="325"/>
      <c r="N251" s="325"/>
      <c r="O251" s="327" t="s">
        <v>996</v>
      </c>
      <c r="P251" s="179"/>
      <c r="Q251" s="179"/>
      <c r="R251" s="179"/>
      <c r="S251" s="179"/>
    </row>
    <row r="252" spans="1:19" x14ac:dyDescent="0.2">
      <c r="A252" s="185"/>
      <c r="B252" s="186"/>
      <c r="C252" s="187"/>
      <c r="D252" s="202"/>
      <c r="G252" s="205"/>
      <c r="H252" s="255"/>
      <c r="I252" s="203"/>
      <c r="J252" s="205"/>
      <c r="K252" s="206"/>
      <c r="L252" s="205"/>
      <c r="M252" s="205"/>
      <c r="N252" s="205"/>
      <c r="O252" s="313"/>
      <c r="P252" s="205"/>
      <c r="Q252" s="205"/>
      <c r="R252" s="205"/>
      <c r="S252" s="205"/>
    </row>
    <row r="253" spans="1:19" s="42" customFormat="1" x14ac:dyDescent="0.2">
      <c r="A253" s="185">
        <v>25</v>
      </c>
      <c r="B253" s="175" t="s">
        <v>1330</v>
      </c>
      <c r="C253" s="175" t="s">
        <v>1331</v>
      </c>
      <c r="D253" s="202"/>
      <c r="G253" s="179"/>
      <c r="H253" s="223">
        <v>25</v>
      </c>
      <c r="I253" s="225"/>
      <c r="J253" s="236"/>
      <c r="K253" s="293" t="s">
        <v>1331</v>
      </c>
      <c r="L253" s="236"/>
      <c r="M253" s="236"/>
      <c r="N253" s="236"/>
      <c r="O253" s="247"/>
      <c r="P253" s="179"/>
      <c r="Q253" s="194">
        <f>H253</f>
        <v>25</v>
      </c>
      <c r="R253" s="184" t="str">
        <f>CONCATENATE("II-",TEXT(Q253,"0000"))</f>
        <v>II-0025</v>
      </c>
      <c r="S253" s="195" t="str">
        <f>K253</f>
        <v>DEFENSA VEHICULAR</v>
      </c>
    </row>
    <row r="254" spans="1:19" x14ac:dyDescent="0.2">
      <c r="A254" s="185"/>
      <c r="B254" s="175"/>
      <c r="C254" s="175"/>
      <c r="D254" s="202"/>
      <c r="G254" s="179"/>
      <c r="H254" s="237"/>
      <c r="I254" s="197" t="s">
        <v>1020</v>
      </c>
      <c r="J254" s="200"/>
      <c r="K254" s="214" t="s">
        <v>1244</v>
      </c>
      <c r="L254" s="200"/>
      <c r="M254" s="200"/>
      <c r="N254" s="200"/>
      <c r="O254" s="248"/>
      <c r="P254" s="179"/>
      <c r="Q254" s="179"/>
      <c r="R254" s="179"/>
      <c r="S254" s="179"/>
    </row>
    <row r="255" spans="1:19" x14ac:dyDescent="0.2">
      <c r="A255" s="185"/>
      <c r="B255" s="175"/>
      <c r="C255" s="175"/>
      <c r="D255" s="202" t="s">
        <v>1256</v>
      </c>
      <c r="G255" s="179"/>
      <c r="H255" s="196"/>
      <c r="I255" s="203"/>
      <c r="J255" s="204">
        <v>1</v>
      </c>
      <c r="K255" s="205"/>
      <c r="L255" s="206" t="s">
        <v>1332</v>
      </c>
      <c r="M255" s="205"/>
      <c r="N255" s="205"/>
      <c r="O255" s="238" t="s">
        <v>1256</v>
      </c>
      <c r="P255" s="179"/>
      <c r="Q255" s="179"/>
      <c r="R255" s="179"/>
      <c r="S255" s="179"/>
    </row>
    <row r="256" spans="1:19" x14ac:dyDescent="0.2">
      <c r="A256" s="185"/>
      <c r="B256" s="175"/>
      <c r="C256" s="175"/>
      <c r="D256" s="202" t="s">
        <v>1256</v>
      </c>
      <c r="G256" s="179"/>
      <c r="H256" s="196"/>
      <c r="I256" s="203"/>
      <c r="J256" s="210">
        <v>2</v>
      </c>
      <c r="K256" s="211"/>
      <c r="L256" s="212" t="s">
        <v>1333</v>
      </c>
      <c r="M256" s="211"/>
      <c r="N256" s="211"/>
      <c r="O256" s="257" t="s">
        <v>1256</v>
      </c>
      <c r="P256" s="179"/>
      <c r="Q256" s="179"/>
      <c r="R256" s="179"/>
      <c r="S256" s="179"/>
    </row>
    <row r="257" spans="1:19" x14ac:dyDescent="0.2">
      <c r="A257" s="185"/>
      <c r="B257" s="175"/>
      <c r="C257" s="175"/>
      <c r="D257" s="202"/>
      <c r="G257" s="179"/>
      <c r="H257" s="196"/>
      <c r="I257" s="197" t="s">
        <v>1047</v>
      </c>
      <c r="J257" s="205"/>
      <c r="K257" s="206" t="s">
        <v>1245</v>
      </c>
      <c r="L257" s="205"/>
      <c r="M257" s="205"/>
      <c r="N257" s="205"/>
      <c r="O257" s="238"/>
      <c r="P257" s="179"/>
      <c r="Q257" s="179"/>
      <c r="R257" s="179"/>
      <c r="S257" s="179"/>
    </row>
    <row r="258" spans="1:19" x14ac:dyDescent="0.2">
      <c r="A258" s="185"/>
      <c r="B258" s="175"/>
      <c r="C258" s="175"/>
      <c r="D258" s="202" t="s">
        <v>1256</v>
      </c>
      <c r="G258" s="179"/>
      <c r="H258" s="196"/>
      <c r="I258" s="203"/>
      <c r="J258" s="204">
        <v>1</v>
      </c>
      <c r="K258" s="205"/>
      <c r="L258" s="206" t="s">
        <v>1334</v>
      </c>
      <c r="M258" s="205"/>
      <c r="N258" s="205"/>
      <c r="O258" s="238" t="s">
        <v>1256</v>
      </c>
      <c r="P258" s="179"/>
      <c r="Q258" s="179"/>
      <c r="R258" s="179"/>
      <c r="S258" s="179"/>
    </row>
    <row r="259" spans="1:19" x14ac:dyDescent="0.2">
      <c r="A259" s="185"/>
      <c r="B259" s="175"/>
      <c r="C259" s="175"/>
      <c r="D259" s="202" t="s">
        <v>1256</v>
      </c>
      <c r="G259" s="179"/>
      <c r="H259" s="196"/>
      <c r="I259" s="203"/>
      <c r="J259" s="204">
        <v>2</v>
      </c>
      <c r="K259" s="205"/>
      <c r="L259" s="206" t="s">
        <v>1335</v>
      </c>
      <c r="M259" s="205"/>
      <c r="N259" s="205"/>
      <c r="O259" s="238" t="s">
        <v>1256</v>
      </c>
      <c r="P259" s="179"/>
      <c r="Q259" s="179"/>
      <c r="R259" s="179"/>
      <c r="S259" s="179"/>
    </row>
    <row r="260" spans="1:19" x14ac:dyDescent="0.2">
      <c r="A260" s="185"/>
      <c r="B260" s="175"/>
      <c r="C260" s="175"/>
      <c r="D260" s="202" t="s">
        <v>996</v>
      </c>
      <c r="G260" s="179"/>
      <c r="H260" s="196"/>
      <c r="I260" s="197" t="s">
        <v>1057</v>
      </c>
      <c r="J260" s="244"/>
      <c r="K260" s="265" t="s">
        <v>1139</v>
      </c>
      <c r="L260" s="244"/>
      <c r="M260" s="244"/>
      <c r="N260" s="244"/>
      <c r="O260" s="279" t="s">
        <v>996</v>
      </c>
      <c r="P260" s="179"/>
      <c r="Q260" s="179"/>
      <c r="R260" s="179"/>
      <c r="S260" s="179"/>
    </row>
    <row r="261" spans="1:19" ht="15.75" thickBot="1" x14ac:dyDescent="0.25">
      <c r="A261" s="185"/>
      <c r="B261" s="175"/>
      <c r="C261" s="175"/>
      <c r="D261" s="202" t="s">
        <v>996</v>
      </c>
      <c r="G261" s="179"/>
      <c r="H261" s="216"/>
      <c r="I261" s="228" t="s">
        <v>1083</v>
      </c>
      <c r="J261" s="231"/>
      <c r="K261" s="267" t="s">
        <v>1137</v>
      </c>
      <c r="L261" s="231"/>
      <c r="M261" s="231"/>
      <c r="N261" s="231"/>
      <c r="O261" s="305" t="s">
        <v>996</v>
      </c>
      <c r="P261" s="179"/>
      <c r="Q261" s="179"/>
      <c r="R261" s="179"/>
      <c r="S261" s="179"/>
    </row>
    <row r="262" spans="1:19" ht="15.75" thickTop="1" x14ac:dyDescent="0.2">
      <c r="A262" s="185">
        <v>26</v>
      </c>
      <c r="B262" s="175" t="s">
        <v>1336</v>
      </c>
      <c r="C262" s="175" t="s">
        <v>1337</v>
      </c>
      <c r="D262" s="202"/>
      <c r="G262" s="179"/>
      <c r="H262" s="274">
        <v>26</v>
      </c>
      <c r="I262" s="224"/>
      <c r="J262" s="284"/>
      <c r="K262" s="285" t="s">
        <v>1337</v>
      </c>
      <c r="L262" s="284"/>
      <c r="M262" s="284"/>
      <c r="N262" s="284"/>
      <c r="O262" s="226"/>
      <c r="P262" s="179"/>
      <c r="Q262" s="194">
        <f>H262</f>
        <v>26</v>
      </c>
      <c r="R262" s="184" t="str">
        <f>CONCATENATE("II-",TEXT(Q262,"0000"))</f>
        <v>II-0026</v>
      </c>
      <c r="S262" s="195" t="str">
        <f>K262</f>
        <v xml:space="preserve">DEMOLICION </v>
      </c>
    </row>
    <row r="263" spans="1:19" x14ac:dyDescent="0.2">
      <c r="A263" s="185"/>
      <c r="B263" s="175"/>
      <c r="C263" s="175"/>
      <c r="D263" s="202" t="s">
        <v>1214</v>
      </c>
      <c r="G263" s="179"/>
      <c r="H263" s="196"/>
      <c r="I263" s="197" t="s">
        <v>1020</v>
      </c>
      <c r="J263" s="244"/>
      <c r="K263" s="265" t="s">
        <v>1262</v>
      </c>
      <c r="L263" s="244"/>
      <c r="M263" s="244"/>
      <c r="N263" s="244"/>
      <c r="O263" s="279" t="s">
        <v>1214</v>
      </c>
      <c r="P263" s="179"/>
      <c r="Q263" s="179"/>
      <c r="R263" s="179"/>
      <c r="S263" s="179"/>
    </row>
    <row r="264" spans="1:19" ht="15.75" thickBot="1" x14ac:dyDescent="0.25">
      <c r="A264" s="185"/>
      <c r="B264" s="175"/>
      <c r="C264" s="175"/>
      <c r="D264" s="202" t="s">
        <v>5</v>
      </c>
      <c r="G264" s="179"/>
      <c r="H264" s="216"/>
      <c r="I264" s="228" t="s">
        <v>1047</v>
      </c>
      <c r="J264" s="231"/>
      <c r="K264" s="267" t="s">
        <v>1338</v>
      </c>
      <c r="L264" s="231"/>
      <c r="M264" s="231"/>
      <c r="N264" s="231"/>
      <c r="O264" s="305" t="s">
        <v>5</v>
      </c>
      <c r="P264" s="179"/>
      <c r="Q264" s="179"/>
      <c r="R264" s="179"/>
      <c r="S264" s="179"/>
    </row>
    <row r="265" spans="1:19" ht="15.75" thickTop="1" x14ac:dyDescent="0.2">
      <c r="A265" s="185">
        <v>27</v>
      </c>
      <c r="B265" s="175" t="s">
        <v>1339</v>
      </c>
      <c r="C265" s="175" t="s">
        <v>1340</v>
      </c>
      <c r="D265" s="202"/>
      <c r="G265" s="179"/>
      <c r="H265" s="223">
        <v>27</v>
      </c>
      <c r="I265" s="225"/>
      <c r="J265" s="236"/>
      <c r="K265" s="293" t="s">
        <v>1340</v>
      </c>
      <c r="L265" s="236"/>
      <c r="M265" s="236"/>
      <c r="N265" s="236"/>
      <c r="O265" s="247"/>
      <c r="P265" s="179"/>
      <c r="Q265" s="194">
        <f>H265</f>
        <v>27</v>
      </c>
      <c r="R265" s="184" t="str">
        <f>CONCATENATE("II-",TEXT(Q265,"0000"))</f>
        <v>II-0027</v>
      </c>
      <c r="S265" s="195" t="str">
        <f>K265</f>
        <v>DESAGUES</v>
      </c>
    </row>
    <row r="266" spans="1:19" x14ac:dyDescent="0.2">
      <c r="A266" s="185"/>
      <c r="B266" s="175"/>
      <c r="C266" s="175"/>
      <c r="D266" s="202" t="s">
        <v>1248</v>
      </c>
      <c r="G266" s="179"/>
      <c r="H266" s="196"/>
      <c r="I266" s="197" t="s">
        <v>1020</v>
      </c>
      <c r="J266" s="244"/>
      <c r="K266" s="265" t="s">
        <v>1341</v>
      </c>
      <c r="L266" s="244"/>
      <c r="M266" s="244"/>
      <c r="N266" s="244"/>
      <c r="O266" s="279" t="s">
        <v>1248</v>
      </c>
      <c r="P266" s="179"/>
      <c r="Q266" s="179"/>
      <c r="R266" s="179"/>
      <c r="S266" s="179"/>
    </row>
    <row r="267" spans="1:19" x14ac:dyDescent="0.2">
      <c r="A267" s="185"/>
      <c r="B267" s="175"/>
      <c r="C267" s="175"/>
      <c r="D267" s="202" t="s">
        <v>1248</v>
      </c>
      <c r="G267" s="179"/>
      <c r="H267" s="196"/>
      <c r="I267" s="197" t="s">
        <v>1047</v>
      </c>
      <c r="J267" s="244"/>
      <c r="K267" s="265" t="s">
        <v>1342</v>
      </c>
      <c r="L267" s="244"/>
      <c r="M267" s="244"/>
      <c r="N267" s="244"/>
      <c r="O267" s="279" t="s">
        <v>1248</v>
      </c>
      <c r="P267" s="179"/>
      <c r="Q267" s="179"/>
      <c r="R267" s="179"/>
      <c r="S267" s="179"/>
    </row>
    <row r="268" spans="1:19" x14ac:dyDescent="0.2">
      <c r="A268" s="185"/>
      <c r="B268" s="175"/>
      <c r="C268" s="175"/>
      <c r="D268" s="202"/>
      <c r="G268" s="179"/>
      <c r="H268" s="196"/>
      <c r="I268" s="197" t="s">
        <v>1057</v>
      </c>
      <c r="J268" s="205"/>
      <c r="K268" s="206" t="s">
        <v>1343</v>
      </c>
      <c r="L268" s="205"/>
      <c r="M268" s="205"/>
      <c r="N268" s="205"/>
      <c r="O268" s="238"/>
      <c r="P268" s="179"/>
      <c r="Q268" s="179"/>
      <c r="R268" s="179"/>
      <c r="S268" s="179"/>
    </row>
    <row r="269" spans="1:19" x14ac:dyDescent="0.2">
      <c r="A269" s="185"/>
      <c r="B269" s="175"/>
      <c r="C269" s="175"/>
      <c r="D269" s="202" t="s">
        <v>1248</v>
      </c>
      <c r="G269" s="179"/>
      <c r="H269" s="196"/>
      <c r="I269" s="203"/>
      <c r="J269" s="204">
        <v>1</v>
      </c>
      <c r="K269" s="205"/>
      <c r="L269" s="206" t="s">
        <v>1249</v>
      </c>
      <c r="M269" s="205"/>
      <c r="N269" s="205"/>
      <c r="O269" s="238" t="s">
        <v>1248</v>
      </c>
      <c r="P269" s="179"/>
      <c r="Q269" s="179"/>
      <c r="R269" s="179"/>
      <c r="S269" s="179"/>
    </row>
    <row r="270" spans="1:19" x14ac:dyDescent="0.2">
      <c r="A270" s="185"/>
      <c r="B270" s="175"/>
      <c r="C270" s="175"/>
      <c r="D270" s="202" t="s">
        <v>1248</v>
      </c>
      <c r="G270" s="179"/>
      <c r="H270" s="196"/>
      <c r="I270" s="203"/>
      <c r="J270" s="210">
        <v>2</v>
      </c>
      <c r="K270" s="205"/>
      <c r="L270" s="206" t="s">
        <v>1252</v>
      </c>
      <c r="M270" s="205"/>
      <c r="N270" s="205"/>
      <c r="O270" s="238" t="s">
        <v>1248</v>
      </c>
      <c r="P270" s="179"/>
      <c r="Q270" s="179"/>
      <c r="R270" s="179"/>
      <c r="S270" s="179"/>
    </row>
    <row r="271" spans="1:19" x14ac:dyDescent="0.2">
      <c r="A271" s="185"/>
      <c r="B271" s="175"/>
      <c r="C271" s="175"/>
      <c r="D271" s="202" t="s">
        <v>1248</v>
      </c>
      <c r="G271" s="179"/>
      <c r="H271" s="196"/>
      <c r="I271" s="197" t="s">
        <v>1083</v>
      </c>
      <c r="J271" s="244"/>
      <c r="K271" s="265" t="s">
        <v>1139</v>
      </c>
      <c r="L271" s="244"/>
      <c r="M271" s="244"/>
      <c r="N271" s="244"/>
      <c r="O271" s="279" t="s">
        <v>1248</v>
      </c>
      <c r="P271" s="179"/>
      <c r="Q271" s="179"/>
      <c r="R271" s="179"/>
      <c r="S271" s="179"/>
    </row>
    <row r="272" spans="1:19" x14ac:dyDescent="0.2">
      <c r="A272" s="185"/>
      <c r="B272" s="175"/>
      <c r="C272" s="175"/>
      <c r="D272" s="202" t="s">
        <v>1248</v>
      </c>
      <c r="G272" s="179"/>
      <c r="H272" s="196"/>
      <c r="I272" s="210" t="s">
        <v>1125</v>
      </c>
      <c r="J272" s="211"/>
      <c r="K272" s="212" t="s">
        <v>1137</v>
      </c>
      <c r="L272" s="211"/>
      <c r="M272" s="211"/>
      <c r="N272" s="211"/>
      <c r="O272" s="257" t="s">
        <v>1248</v>
      </c>
      <c r="P272" s="179"/>
      <c r="Q272" s="179"/>
      <c r="R272" s="179"/>
      <c r="S272" s="179"/>
    </row>
    <row r="273" spans="1:19" ht="15.75" thickBot="1" x14ac:dyDescent="0.25">
      <c r="A273" s="185"/>
      <c r="B273" s="175"/>
      <c r="C273" s="175"/>
      <c r="D273" s="202" t="s">
        <v>1248</v>
      </c>
      <c r="G273" s="179"/>
      <c r="H273" s="196"/>
      <c r="I273" s="197" t="s">
        <v>1128</v>
      </c>
      <c r="J273" s="244"/>
      <c r="K273" s="265" t="s">
        <v>1134</v>
      </c>
      <c r="L273" s="244"/>
      <c r="M273" s="244"/>
      <c r="N273" s="244"/>
      <c r="O273" s="279" t="s">
        <v>1248</v>
      </c>
      <c r="P273" s="179"/>
      <c r="Q273" s="179"/>
      <c r="R273" s="179"/>
      <c r="S273" s="179"/>
    </row>
    <row r="274" spans="1:19" ht="16.5" thickTop="1" thickBot="1" x14ac:dyDescent="0.25">
      <c r="A274" s="185">
        <v>28</v>
      </c>
      <c r="B274" s="175" t="s">
        <v>1344</v>
      </c>
      <c r="C274" s="175" t="s">
        <v>1345</v>
      </c>
      <c r="D274" s="202" t="s">
        <v>997</v>
      </c>
      <c r="G274" s="179"/>
      <c r="H274" s="274">
        <v>28</v>
      </c>
      <c r="I274" s="224"/>
      <c r="J274" s="284"/>
      <c r="K274" s="285" t="s">
        <v>1345</v>
      </c>
      <c r="L274" s="284"/>
      <c r="M274" s="284"/>
      <c r="N274" s="284"/>
      <c r="O274" s="226" t="s">
        <v>997</v>
      </c>
      <c r="P274" s="179"/>
      <c r="Q274" s="194">
        <f t="shared" ref="Q274:Q279" si="39">H274</f>
        <v>28</v>
      </c>
      <c r="R274" s="184" t="str">
        <f t="shared" ref="R274:R279" si="40">CONCATENATE("II-",TEXT(Q274,"0000"))</f>
        <v>II-0028</v>
      </c>
      <c r="S274" s="195" t="str">
        <f t="shared" ref="S274:S279" si="41">K274</f>
        <v>DESBOSQUE / DESTRONQUE LIMPIEZA</v>
      </c>
    </row>
    <row r="275" spans="1:19" ht="16.5" thickTop="1" thickBot="1" x14ac:dyDescent="0.25">
      <c r="A275" s="185">
        <v>29</v>
      </c>
      <c r="B275" s="175" t="s">
        <v>1346</v>
      </c>
      <c r="C275" s="175" t="s">
        <v>1347</v>
      </c>
      <c r="D275" s="202" t="s">
        <v>1131</v>
      </c>
      <c r="G275" s="179"/>
      <c r="H275" s="274">
        <v>29</v>
      </c>
      <c r="I275" s="224"/>
      <c r="J275" s="284"/>
      <c r="K275" s="285" t="s">
        <v>1347</v>
      </c>
      <c r="L275" s="284"/>
      <c r="M275" s="284"/>
      <c r="N275" s="284"/>
      <c r="O275" s="226" t="s">
        <v>1131</v>
      </c>
      <c r="P275" s="179"/>
      <c r="Q275" s="194">
        <f t="shared" si="39"/>
        <v>29</v>
      </c>
      <c r="R275" s="184" t="str">
        <f t="shared" si="40"/>
        <v>II-0029</v>
      </c>
      <c r="S275" s="195" t="str">
        <f t="shared" si="41"/>
        <v>DESCARGA</v>
      </c>
    </row>
    <row r="276" spans="1:19" ht="16.5" thickTop="1" thickBot="1" x14ac:dyDescent="0.25">
      <c r="A276" s="185">
        <v>30</v>
      </c>
      <c r="B276" s="175" t="s">
        <v>1348</v>
      </c>
      <c r="C276" s="175" t="s">
        <v>1349</v>
      </c>
      <c r="D276" s="202" t="s">
        <v>1131</v>
      </c>
      <c r="G276" s="179"/>
      <c r="H276" s="320">
        <v>30</v>
      </c>
      <c r="I276" s="321"/>
      <c r="J276" s="322"/>
      <c r="K276" s="323" t="s">
        <v>1349</v>
      </c>
      <c r="L276" s="322"/>
      <c r="M276" s="322"/>
      <c r="N276" s="322"/>
      <c r="O276" s="324" t="s">
        <v>1131</v>
      </c>
      <c r="P276" s="179"/>
      <c r="Q276" s="194">
        <f t="shared" si="39"/>
        <v>30</v>
      </c>
      <c r="R276" s="184" t="str">
        <f t="shared" si="40"/>
        <v>II-0030</v>
      </c>
      <c r="S276" s="195" t="str">
        <f t="shared" si="41"/>
        <v>DESEMBARRO P/ SANEAMIENTO</v>
      </c>
    </row>
    <row r="277" spans="1:19" ht="16.5" thickTop="1" thickBot="1" x14ac:dyDescent="0.25">
      <c r="A277" s="185">
        <v>31</v>
      </c>
      <c r="B277" s="175" t="s">
        <v>1350</v>
      </c>
      <c r="C277" s="175" t="s">
        <v>1351</v>
      </c>
      <c r="D277" s="202" t="s">
        <v>997</v>
      </c>
      <c r="G277" s="179"/>
      <c r="H277" s="320">
        <v>31</v>
      </c>
      <c r="I277" s="321"/>
      <c r="J277" s="322"/>
      <c r="K277" s="323" t="s">
        <v>1351</v>
      </c>
      <c r="L277" s="322"/>
      <c r="M277" s="322"/>
      <c r="N277" s="322"/>
      <c r="O277" s="324" t="s">
        <v>997</v>
      </c>
      <c r="P277" s="179"/>
      <c r="Q277" s="194">
        <f t="shared" si="39"/>
        <v>31</v>
      </c>
      <c r="R277" s="184" t="str">
        <f t="shared" si="40"/>
        <v>II-0031</v>
      </c>
      <c r="S277" s="195" t="str">
        <f t="shared" si="41"/>
        <v>DESPEDRADO DE LADERAS</v>
      </c>
    </row>
    <row r="278" spans="1:19" ht="16.5" thickTop="1" thickBot="1" x14ac:dyDescent="0.25">
      <c r="A278" s="185">
        <v>32</v>
      </c>
      <c r="B278" s="175" t="s">
        <v>1352</v>
      </c>
      <c r="C278" s="175" t="s">
        <v>1353</v>
      </c>
      <c r="D278" s="202" t="s">
        <v>5</v>
      </c>
      <c r="G278" s="179"/>
      <c r="H278" s="320">
        <v>32</v>
      </c>
      <c r="I278" s="321"/>
      <c r="J278" s="322"/>
      <c r="K278" s="323" t="s">
        <v>1353</v>
      </c>
      <c r="L278" s="322"/>
      <c r="M278" s="322"/>
      <c r="N278" s="322"/>
      <c r="O278" s="324" t="s">
        <v>5</v>
      </c>
      <c r="P278" s="179"/>
      <c r="Q278" s="194">
        <f t="shared" si="39"/>
        <v>32</v>
      </c>
      <c r="R278" s="184" t="str">
        <f t="shared" si="40"/>
        <v>II-0032</v>
      </c>
      <c r="S278" s="195" t="str">
        <f t="shared" si="41"/>
        <v>DESVIO</v>
      </c>
    </row>
    <row r="279" spans="1:19" ht="15.75" thickTop="1" x14ac:dyDescent="0.2">
      <c r="A279" s="185">
        <v>33</v>
      </c>
      <c r="B279" s="175" t="s">
        <v>1354</v>
      </c>
      <c r="C279" s="175" t="s">
        <v>1355</v>
      </c>
      <c r="D279" s="202"/>
      <c r="G279" s="179"/>
      <c r="H279" s="223">
        <v>33</v>
      </c>
      <c r="I279" s="225"/>
      <c r="J279" s="236"/>
      <c r="K279" s="293" t="s">
        <v>1355</v>
      </c>
      <c r="L279" s="236"/>
      <c r="M279" s="236"/>
      <c r="N279" s="236"/>
      <c r="O279" s="247"/>
      <c r="P279" s="179"/>
      <c r="Q279" s="194">
        <f t="shared" si="39"/>
        <v>33</v>
      </c>
      <c r="R279" s="184" t="str">
        <f t="shared" si="40"/>
        <v>II-0033</v>
      </c>
      <c r="S279" s="195" t="str">
        <f t="shared" si="41"/>
        <v>DRENES</v>
      </c>
    </row>
    <row r="280" spans="1:19" x14ac:dyDescent="0.2">
      <c r="A280" s="185"/>
      <c r="B280" s="175"/>
      <c r="C280" s="175"/>
      <c r="D280" s="202"/>
      <c r="G280" s="179"/>
      <c r="H280" s="196"/>
      <c r="I280" s="197" t="s">
        <v>1020</v>
      </c>
      <c r="J280" s="203"/>
      <c r="K280" s="206" t="s">
        <v>1356</v>
      </c>
      <c r="L280" s="205"/>
      <c r="M280" s="205"/>
      <c r="N280" s="205"/>
      <c r="O280" s="238"/>
      <c r="P280" s="179"/>
      <c r="Q280" s="179"/>
      <c r="R280" s="179"/>
      <c r="S280" s="179"/>
    </row>
    <row r="281" spans="1:19" x14ac:dyDescent="0.2">
      <c r="A281" s="185"/>
      <c r="B281" s="175"/>
      <c r="C281" s="175"/>
      <c r="D281" s="202" t="s">
        <v>1214</v>
      </c>
      <c r="G281" s="179"/>
      <c r="H281" s="196"/>
      <c r="I281" s="203"/>
      <c r="J281" s="204">
        <v>1</v>
      </c>
      <c r="K281" s="205"/>
      <c r="L281" s="206" t="s">
        <v>1357</v>
      </c>
      <c r="M281" s="205"/>
      <c r="N281" s="205"/>
      <c r="O281" s="238" t="s">
        <v>1214</v>
      </c>
      <c r="P281" s="179"/>
      <c r="Q281" s="179"/>
      <c r="R281" s="179"/>
      <c r="S281" s="179"/>
    </row>
    <row r="282" spans="1:19" x14ac:dyDescent="0.2">
      <c r="A282" s="185"/>
      <c r="B282" s="175"/>
      <c r="C282" s="175"/>
      <c r="D282" s="202" t="s">
        <v>1131</v>
      </c>
      <c r="G282" s="179"/>
      <c r="H282" s="196"/>
      <c r="I282" s="203"/>
      <c r="J282" s="204">
        <v>2</v>
      </c>
      <c r="K282" s="205"/>
      <c r="L282" s="206" t="s">
        <v>1358</v>
      </c>
      <c r="M282" s="205"/>
      <c r="N282" s="205"/>
      <c r="O282" s="238" t="s">
        <v>1131</v>
      </c>
      <c r="P282" s="179"/>
      <c r="Q282" s="179"/>
      <c r="R282" s="179"/>
      <c r="S282" s="179"/>
    </row>
    <row r="283" spans="1:19" x14ac:dyDescent="0.2">
      <c r="A283" s="185"/>
      <c r="B283" s="175"/>
      <c r="C283" s="175"/>
      <c r="D283" s="202" t="s">
        <v>996</v>
      </c>
      <c r="G283" s="179"/>
      <c r="H283" s="196"/>
      <c r="I283" s="215"/>
      <c r="J283" s="210">
        <v>3</v>
      </c>
      <c r="K283" s="211"/>
      <c r="L283" s="212" t="s">
        <v>1359</v>
      </c>
      <c r="M283" s="211"/>
      <c r="N283" s="211"/>
      <c r="O283" s="257" t="s">
        <v>996</v>
      </c>
      <c r="P283" s="179"/>
      <c r="Q283" s="179"/>
      <c r="R283" s="179"/>
      <c r="S283" s="179"/>
    </row>
    <row r="284" spans="1:19" x14ac:dyDescent="0.2">
      <c r="A284" s="185"/>
      <c r="B284" s="175"/>
      <c r="C284" s="175"/>
      <c r="D284" s="202"/>
      <c r="G284" s="179"/>
      <c r="H284" s="196"/>
      <c r="I284" s="210" t="s">
        <v>1047</v>
      </c>
      <c r="J284" s="203"/>
      <c r="K284" s="206" t="s">
        <v>1360</v>
      </c>
      <c r="L284" s="205"/>
      <c r="M284" s="205"/>
      <c r="N284" s="205"/>
      <c r="O284" s="238"/>
      <c r="P284" s="179"/>
      <c r="Q284" s="179"/>
      <c r="R284" s="179"/>
      <c r="S284" s="179"/>
    </row>
    <row r="285" spans="1:19" x14ac:dyDescent="0.2">
      <c r="A285" s="185"/>
      <c r="B285" s="175"/>
      <c r="C285" s="175"/>
      <c r="D285" s="202" t="s">
        <v>1214</v>
      </c>
      <c r="G285" s="179"/>
      <c r="H285" s="196"/>
      <c r="I285" s="203"/>
      <c r="J285" s="204">
        <v>1</v>
      </c>
      <c r="K285" s="205"/>
      <c r="L285" s="206" t="s">
        <v>1357</v>
      </c>
      <c r="M285" s="205"/>
      <c r="N285" s="205"/>
      <c r="O285" s="238" t="s">
        <v>1214</v>
      </c>
      <c r="P285" s="179"/>
      <c r="Q285" s="179"/>
      <c r="R285" s="179"/>
      <c r="S285" s="179"/>
    </row>
    <row r="286" spans="1:19" x14ac:dyDescent="0.2">
      <c r="A286" s="185"/>
      <c r="B286" s="175"/>
      <c r="C286" s="175"/>
      <c r="D286" s="202" t="s">
        <v>1131</v>
      </c>
      <c r="G286" s="179"/>
      <c r="H286" s="196"/>
      <c r="I286" s="203"/>
      <c r="J286" s="204">
        <v>2</v>
      </c>
      <c r="K286" s="205"/>
      <c r="L286" s="206" t="s">
        <v>1358</v>
      </c>
      <c r="M286" s="205"/>
      <c r="N286" s="205"/>
      <c r="O286" s="238" t="s">
        <v>1131</v>
      </c>
      <c r="P286" s="179"/>
      <c r="Q286" s="179"/>
      <c r="R286" s="179"/>
      <c r="S286" s="179"/>
    </row>
    <row r="287" spans="1:19" x14ac:dyDescent="0.2">
      <c r="A287" s="185"/>
      <c r="B287" s="175"/>
      <c r="C287" s="175"/>
      <c r="D287" s="202" t="s">
        <v>996</v>
      </c>
      <c r="G287" s="179"/>
      <c r="H287" s="196"/>
      <c r="I287" s="215"/>
      <c r="J287" s="210">
        <v>3</v>
      </c>
      <c r="K287" s="211"/>
      <c r="L287" s="212" t="s">
        <v>1359</v>
      </c>
      <c r="M287" s="211"/>
      <c r="N287" s="211"/>
      <c r="O287" s="257" t="s">
        <v>996</v>
      </c>
      <c r="P287" s="179"/>
      <c r="Q287" s="179"/>
      <c r="R287" s="179"/>
      <c r="S287" s="179"/>
    </row>
    <row r="288" spans="1:19" x14ac:dyDescent="0.2">
      <c r="A288" s="185"/>
      <c r="B288" s="175"/>
      <c r="C288" s="175"/>
      <c r="D288" s="202"/>
      <c r="G288" s="179"/>
      <c r="H288" s="196"/>
      <c r="I288" s="210" t="s">
        <v>1057</v>
      </c>
      <c r="J288" s="203"/>
      <c r="K288" s="206" t="s">
        <v>1361</v>
      </c>
      <c r="L288" s="205"/>
      <c r="M288" s="205"/>
      <c r="N288" s="205"/>
      <c r="O288" s="238"/>
      <c r="P288" s="179"/>
      <c r="Q288" s="179"/>
      <c r="R288" s="179"/>
      <c r="S288" s="179"/>
    </row>
    <row r="289" spans="1:19" x14ac:dyDescent="0.2">
      <c r="A289" s="185"/>
      <c r="B289" s="175"/>
      <c r="C289" s="175"/>
      <c r="D289" s="202" t="s">
        <v>1256</v>
      </c>
      <c r="G289" s="179"/>
      <c r="H289" s="196"/>
      <c r="I289" s="203"/>
      <c r="J289" s="204">
        <v>1</v>
      </c>
      <c r="K289" s="205"/>
      <c r="L289" s="206" t="s">
        <v>1362</v>
      </c>
      <c r="M289" s="205"/>
      <c r="N289" s="205"/>
      <c r="O289" s="238" t="s">
        <v>1256</v>
      </c>
      <c r="P289" s="179"/>
      <c r="Q289" s="179"/>
      <c r="R289" s="179"/>
      <c r="S289" s="179"/>
    </row>
    <row r="290" spans="1:19" x14ac:dyDescent="0.2">
      <c r="A290" s="185"/>
      <c r="B290" s="175"/>
      <c r="C290" s="175"/>
      <c r="D290" s="202" t="s">
        <v>1256</v>
      </c>
      <c r="G290" s="179"/>
      <c r="H290" s="196"/>
      <c r="I290" s="197" t="s">
        <v>1083</v>
      </c>
      <c r="J290" s="244"/>
      <c r="K290" s="265" t="s">
        <v>1089</v>
      </c>
      <c r="L290" s="244"/>
      <c r="M290" s="244"/>
      <c r="N290" s="244"/>
      <c r="O290" s="279" t="s">
        <v>1256</v>
      </c>
      <c r="P290" s="179"/>
      <c r="Q290" s="179"/>
      <c r="R290" s="179"/>
      <c r="S290" s="179"/>
    </row>
    <row r="291" spans="1:19" ht="15.75" thickBot="1" x14ac:dyDescent="0.25">
      <c r="A291" s="185"/>
      <c r="B291" s="175"/>
      <c r="C291" s="175"/>
      <c r="D291" s="202" t="s">
        <v>1256</v>
      </c>
      <c r="G291" s="179"/>
      <c r="H291" s="196"/>
      <c r="I291" s="228" t="s">
        <v>1125</v>
      </c>
      <c r="J291" s="205"/>
      <c r="K291" s="206" t="s">
        <v>1137</v>
      </c>
      <c r="L291" s="205"/>
      <c r="M291" s="205"/>
      <c r="N291" s="205"/>
      <c r="O291" s="238" t="s">
        <v>1256</v>
      </c>
      <c r="P291" s="179"/>
      <c r="Q291" s="179"/>
      <c r="R291" s="179"/>
      <c r="S291" s="179"/>
    </row>
    <row r="292" spans="1:19" ht="15.75" thickTop="1" x14ac:dyDescent="0.2">
      <c r="A292" s="185">
        <v>34</v>
      </c>
      <c r="B292" s="175" t="s">
        <v>1363</v>
      </c>
      <c r="C292" s="175" t="s">
        <v>1364</v>
      </c>
      <c r="D292" s="202"/>
      <c r="G292" s="179"/>
      <c r="H292" s="274">
        <v>34</v>
      </c>
      <c r="I292" s="224"/>
      <c r="J292" s="284"/>
      <c r="K292" s="285" t="s">
        <v>1364</v>
      </c>
      <c r="L292" s="284"/>
      <c r="M292" s="284"/>
      <c r="N292" s="284"/>
      <c r="O292" s="226"/>
      <c r="P292" s="179"/>
      <c r="Q292" s="194">
        <f>H292</f>
        <v>34</v>
      </c>
      <c r="R292" s="184" t="str">
        <f>CONCATENATE("II-",TEXT(Q292,"0000"))</f>
        <v>II-0034</v>
      </c>
      <c r="S292" s="195" t="str">
        <f>K292</f>
        <v>ELEVACION DE GUARDARUEDAS</v>
      </c>
    </row>
    <row r="293" spans="1:19" ht="15.75" thickBot="1" x14ac:dyDescent="0.25">
      <c r="A293" s="185"/>
      <c r="B293" s="175"/>
      <c r="C293" s="175"/>
      <c r="D293" s="202" t="s">
        <v>1214</v>
      </c>
      <c r="G293" s="179"/>
      <c r="H293" s="328"/>
      <c r="I293" s="306" t="s">
        <v>1020</v>
      </c>
      <c r="J293" s="325"/>
      <c r="K293" s="326" t="s">
        <v>1365</v>
      </c>
      <c r="L293" s="325"/>
      <c r="M293" s="325"/>
      <c r="N293" s="325"/>
      <c r="O293" s="327" t="s">
        <v>1214</v>
      </c>
      <c r="P293" s="179"/>
      <c r="Q293" s="179"/>
      <c r="R293" s="179"/>
      <c r="S293" s="179"/>
    </row>
    <row r="294" spans="1:19" x14ac:dyDescent="0.2">
      <c r="A294" s="185">
        <v>35</v>
      </c>
      <c r="B294" s="175" t="s">
        <v>1366</v>
      </c>
      <c r="C294" s="175" t="s">
        <v>1367</v>
      </c>
      <c r="D294" s="202"/>
      <c r="G294" s="179"/>
      <c r="H294" s="223">
        <v>35</v>
      </c>
      <c r="I294" s="225"/>
      <c r="J294" s="236"/>
      <c r="K294" s="293" t="s">
        <v>1367</v>
      </c>
      <c r="L294" s="236"/>
      <c r="M294" s="236"/>
      <c r="N294" s="236"/>
      <c r="O294" s="247"/>
      <c r="P294" s="179"/>
      <c r="Q294" s="194">
        <f>H294</f>
        <v>35</v>
      </c>
      <c r="R294" s="184" t="str">
        <f>CONCATENATE("II-",TEXT(Q294,"0000"))</f>
        <v>II-0035</v>
      </c>
      <c r="S294" s="195" t="str">
        <f>K294</f>
        <v>ENCAUZAMIENTO</v>
      </c>
    </row>
    <row r="295" spans="1:19" x14ac:dyDescent="0.2">
      <c r="A295" s="185"/>
      <c r="B295" s="175"/>
      <c r="C295" s="175"/>
      <c r="D295" s="202" t="s">
        <v>1131</v>
      </c>
      <c r="G295" s="179"/>
      <c r="H295" s="196"/>
      <c r="I295" s="197" t="s">
        <v>1020</v>
      </c>
      <c r="J295" s="244"/>
      <c r="K295" s="265" t="s">
        <v>1313</v>
      </c>
      <c r="L295" s="244"/>
      <c r="M295" s="244"/>
      <c r="N295" s="244"/>
      <c r="O295" s="279" t="s">
        <v>1131</v>
      </c>
      <c r="P295" s="179"/>
      <c r="Q295" s="179"/>
      <c r="R295" s="179"/>
      <c r="S295" s="179"/>
    </row>
    <row r="296" spans="1:19" x14ac:dyDescent="0.2">
      <c r="A296" s="185"/>
      <c r="B296" s="175"/>
      <c r="C296" s="175"/>
      <c r="D296" s="202"/>
      <c r="G296" s="179"/>
      <c r="H296" s="196"/>
      <c r="I296" s="197" t="s">
        <v>1047</v>
      </c>
      <c r="J296" s="203"/>
      <c r="K296" s="206" t="s">
        <v>1368</v>
      </c>
      <c r="L296" s="205"/>
      <c r="M296" s="205"/>
      <c r="N296" s="205"/>
      <c r="O296" s="238"/>
      <c r="P296" s="179"/>
      <c r="Q296" s="179"/>
      <c r="R296" s="179"/>
      <c r="S296" s="179"/>
    </row>
    <row r="297" spans="1:19" x14ac:dyDescent="0.2">
      <c r="A297" s="185"/>
      <c r="B297" s="175"/>
      <c r="C297" s="175"/>
      <c r="D297" s="202" t="s">
        <v>1131</v>
      </c>
      <c r="G297" s="179"/>
      <c r="H297" s="196"/>
      <c r="I297" s="203"/>
      <c r="J297" s="204">
        <v>1</v>
      </c>
      <c r="K297" s="205"/>
      <c r="L297" s="206" t="s">
        <v>1369</v>
      </c>
      <c r="M297" s="205"/>
      <c r="N297" s="205"/>
      <c r="O297" s="238" t="s">
        <v>1131</v>
      </c>
      <c r="P297" s="179"/>
      <c r="Q297" s="179"/>
      <c r="R297" s="179"/>
      <c r="S297" s="179"/>
    </row>
    <row r="298" spans="1:19" ht="15.75" thickBot="1" x14ac:dyDescent="0.25">
      <c r="A298" s="185"/>
      <c r="B298" s="175"/>
      <c r="C298" s="175"/>
      <c r="D298" s="202" t="s">
        <v>1131</v>
      </c>
      <c r="G298" s="179"/>
      <c r="H298" s="249"/>
      <c r="I298" s="250"/>
      <c r="J298" s="251">
        <v>2</v>
      </c>
      <c r="K298" s="252"/>
      <c r="L298" s="253" t="s">
        <v>1245</v>
      </c>
      <c r="M298" s="252"/>
      <c r="N298" s="252"/>
      <c r="O298" s="307" t="s">
        <v>1131</v>
      </c>
      <c r="P298" s="179"/>
      <c r="Q298" s="179"/>
      <c r="R298" s="179"/>
      <c r="S298" s="179"/>
    </row>
    <row r="299" spans="1:19" x14ac:dyDescent="0.2">
      <c r="A299" s="185"/>
      <c r="B299" s="175"/>
      <c r="C299" s="175"/>
      <c r="D299" s="202"/>
      <c r="G299" s="205"/>
      <c r="H299" s="255"/>
      <c r="I299" s="203"/>
      <c r="J299" s="203"/>
      <c r="K299" s="205"/>
      <c r="L299" s="206"/>
      <c r="M299" s="205"/>
      <c r="N299" s="205"/>
      <c r="O299" s="313"/>
      <c r="P299" s="205"/>
      <c r="Q299" s="205"/>
      <c r="R299" s="205"/>
      <c r="S299" s="205"/>
    </row>
    <row r="300" spans="1:19" ht="15.75" thickBot="1" x14ac:dyDescent="0.25">
      <c r="A300" s="185">
        <v>36</v>
      </c>
      <c r="B300" s="175" t="s">
        <v>1370</v>
      </c>
      <c r="C300" s="175" t="s">
        <v>1371</v>
      </c>
      <c r="D300" s="202" t="s">
        <v>1131</v>
      </c>
      <c r="G300" s="179"/>
      <c r="H300" s="223">
        <v>36</v>
      </c>
      <c r="I300" s="225"/>
      <c r="J300" s="236"/>
      <c r="K300" s="293" t="s">
        <v>1371</v>
      </c>
      <c r="L300" s="236"/>
      <c r="M300" s="236"/>
      <c r="N300" s="236"/>
      <c r="O300" s="247" t="s">
        <v>1131</v>
      </c>
      <c r="P300" s="179"/>
      <c r="Q300" s="194">
        <f t="shared" ref="Q300:Q303" si="42">H300</f>
        <v>36</v>
      </c>
      <c r="R300" s="184" t="str">
        <f t="shared" ref="R300:R303" si="43">CONCATENATE("II-",TEXT(Q300,"0000"))</f>
        <v>II-0036</v>
      </c>
      <c r="S300" s="195" t="str">
        <f t="shared" ref="S300:S303" si="44">K300</f>
        <v>ENROCADOS</v>
      </c>
    </row>
    <row r="301" spans="1:19" ht="16.5" thickTop="1" thickBot="1" x14ac:dyDescent="0.25">
      <c r="A301" s="185">
        <v>37</v>
      </c>
      <c r="B301" s="175" t="s">
        <v>1372</v>
      </c>
      <c r="C301" s="175" t="s">
        <v>1373</v>
      </c>
      <c r="D301" s="202" t="s">
        <v>1214</v>
      </c>
      <c r="G301" s="179"/>
      <c r="H301" s="274">
        <v>37</v>
      </c>
      <c r="I301" s="224"/>
      <c r="J301" s="284"/>
      <c r="K301" s="285" t="s">
        <v>1373</v>
      </c>
      <c r="L301" s="284"/>
      <c r="M301" s="284"/>
      <c r="N301" s="284"/>
      <c r="O301" s="226" t="s">
        <v>1214</v>
      </c>
      <c r="P301" s="179"/>
      <c r="Q301" s="194">
        <f t="shared" si="42"/>
        <v>37</v>
      </c>
      <c r="R301" s="184" t="str">
        <f t="shared" si="43"/>
        <v>II-0037</v>
      </c>
      <c r="S301" s="195" t="str">
        <f t="shared" si="44"/>
        <v>ENRIPIADO</v>
      </c>
    </row>
    <row r="302" spans="1:19" ht="16.5" thickTop="1" thickBot="1" x14ac:dyDescent="0.25">
      <c r="A302" s="185">
        <v>38</v>
      </c>
      <c r="B302" s="175" t="s">
        <v>1374</v>
      </c>
      <c r="C302" s="175" t="s">
        <v>1375</v>
      </c>
      <c r="D302" s="202" t="s">
        <v>1214</v>
      </c>
      <c r="G302" s="179"/>
      <c r="H302" s="274">
        <v>38</v>
      </c>
      <c r="I302" s="224"/>
      <c r="J302" s="284"/>
      <c r="K302" s="285" t="s">
        <v>1375</v>
      </c>
      <c r="L302" s="284"/>
      <c r="M302" s="284"/>
      <c r="N302" s="284"/>
      <c r="O302" s="226" t="s">
        <v>1214</v>
      </c>
      <c r="P302" s="179"/>
      <c r="Q302" s="194">
        <f t="shared" si="42"/>
        <v>38</v>
      </c>
      <c r="R302" s="184" t="str">
        <f t="shared" si="43"/>
        <v>II-0038</v>
      </c>
      <c r="S302" s="195" t="str">
        <f t="shared" si="44"/>
        <v>ESCARIFICADO</v>
      </c>
    </row>
    <row r="303" spans="1:19" ht="15.75" thickTop="1" x14ac:dyDescent="0.2">
      <c r="A303" s="185">
        <v>39</v>
      </c>
      <c r="B303" s="175" t="s">
        <v>1376</v>
      </c>
      <c r="C303" s="175" t="s">
        <v>1377</v>
      </c>
      <c r="D303" s="202"/>
      <c r="G303" s="179"/>
      <c r="H303" s="274">
        <v>39</v>
      </c>
      <c r="I303" s="224"/>
      <c r="J303" s="284"/>
      <c r="K303" s="285" t="s">
        <v>1377</v>
      </c>
      <c r="L303" s="284"/>
      <c r="M303" s="284"/>
      <c r="N303" s="284"/>
      <c r="O303" s="226"/>
      <c r="P303" s="179"/>
      <c r="Q303" s="194">
        <f t="shared" si="42"/>
        <v>39</v>
      </c>
      <c r="R303" s="184" t="str">
        <f t="shared" si="43"/>
        <v>II-0039</v>
      </c>
      <c r="S303" s="195" t="str">
        <f t="shared" si="44"/>
        <v>EXCAVACIONES</v>
      </c>
    </row>
    <row r="304" spans="1:19" x14ac:dyDescent="0.2">
      <c r="A304" s="185"/>
      <c r="B304" s="175"/>
      <c r="C304" s="175"/>
      <c r="D304" s="202" t="s">
        <v>1131</v>
      </c>
      <c r="G304" s="179"/>
      <c r="H304" s="196"/>
      <c r="I304" s="197" t="s">
        <v>1020</v>
      </c>
      <c r="J304" s="244"/>
      <c r="K304" s="265" t="s">
        <v>1378</v>
      </c>
      <c r="L304" s="265"/>
      <c r="M304" s="265"/>
      <c r="N304" s="265"/>
      <c r="O304" s="279" t="s">
        <v>1131</v>
      </c>
      <c r="P304" s="179"/>
      <c r="Q304" s="179"/>
      <c r="R304" s="179"/>
      <c r="S304" s="179"/>
    </row>
    <row r="305" spans="1:19" x14ac:dyDescent="0.2">
      <c r="A305" s="185"/>
      <c r="B305" s="175"/>
      <c r="C305" s="175"/>
      <c r="D305" s="202" t="s">
        <v>1131</v>
      </c>
      <c r="G305" s="179"/>
      <c r="H305" s="196"/>
      <c r="I305" s="197" t="s">
        <v>1047</v>
      </c>
      <c r="J305" s="244"/>
      <c r="K305" s="265" t="s">
        <v>1379</v>
      </c>
      <c r="L305" s="265"/>
      <c r="M305" s="265"/>
      <c r="N305" s="265"/>
      <c r="O305" s="279" t="s">
        <v>1131</v>
      </c>
      <c r="P305" s="179"/>
      <c r="Q305" s="179"/>
      <c r="R305" s="179"/>
      <c r="S305" s="179"/>
    </row>
    <row r="306" spans="1:19" x14ac:dyDescent="0.2">
      <c r="A306" s="185"/>
      <c r="B306" s="175"/>
      <c r="C306" s="175"/>
      <c r="D306" s="202" t="s">
        <v>1131</v>
      </c>
      <c r="G306" s="179"/>
      <c r="H306" s="196"/>
      <c r="I306" s="197" t="s">
        <v>1057</v>
      </c>
      <c r="J306" s="244"/>
      <c r="K306" s="265" t="s">
        <v>1380</v>
      </c>
      <c r="L306" s="265"/>
      <c r="M306" s="265"/>
      <c r="N306" s="265"/>
      <c r="O306" s="279" t="s">
        <v>1131</v>
      </c>
      <c r="P306" s="179"/>
      <c r="Q306" s="179"/>
      <c r="R306" s="179"/>
      <c r="S306" s="179"/>
    </row>
    <row r="307" spans="1:19" x14ac:dyDescent="0.2">
      <c r="A307" s="185"/>
      <c r="B307" s="175"/>
      <c r="C307" s="175"/>
      <c r="D307" s="202" t="s">
        <v>1131</v>
      </c>
      <c r="G307" s="179"/>
      <c r="H307" s="196"/>
      <c r="I307" s="197" t="s">
        <v>1083</v>
      </c>
      <c r="J307" s="244"/>
      <c r="K307" s="265" t="s">
        <v>1381</v>
      </c>
      <c r="L307" s="265"/>
      <c r="M307" s="265"/>
      <c r="N307" s="265"/>
      <c r="O307" s="279" t="s">
        <v>1131</v>
      </c>
      <c r="P307" s="179"/>
      <c r="Q307" s="179"/>
      <c r="R307" s="179"/>
      <c r="S307" s="179"/>
    </row>
    <row r="308" spans="1:19" x14ac:dyDescent="0.2">
      <c r="A308" s="185"/>
      <c r="B308" s="175"/>
      <c r="C308" s="175"/>
      <c r="D308" s="202" t="s">
        <v>1131</v>
      </c>
      <c r="G308" s="179"/>
      <c r="H308" s="196"/>
      <c r="I308" s="197" t="s">
        <v>1125</v>
      </c>
      <c r="J308" s="244"/>
      <c r="K308" s="265" t="s">
        <v>1382</v>
      </c>
      <c r="L308" s="265"/>
      <c r="M308" s="265"/>
      <c r="N308" s="265"/>
      <c r="O308" s="279" t="s">
        <v>1131</v>
      </c>
      <c r="P308" s="179"/>
      <c r="Q308" s="179"/>
      <c r="R308" s="179"/>
      <c r="S308" s="179"/>
    </row>
    <row r="309" spans="1:19" x14ac:dyDescent="0.2">
      <c r="A309" s="185"/>
      <c r="B309" s="175"/>
      <c r="C309" s="175"/>
      <c r="D309" s="202" t="s">
        <v>1131</v>
      </c>
      <c r="G309" s="179"/>
      <c r="H309" s="196"/>
      <c r="I309" s="197" t="s">
        <v>1128</v>
      </c>
      <c r="J309" s="244"/>
      <c r="K309" s="265" t="s">
        <v>1383</v>
      </c>
      <c r="L309" s="265"/>
      <c r="M309" s="265"/>
      <c r="N309" s="265"/>
      <c r="O309" s="279" t="s">
        <v>1131</v>
      </c>
      <c r="P309" s="179"/>
      <c r="Q309" s="179"/>
      <c r="R309" s="179"/>
      <c r="S309" s="179"/>
    </row>
    <row r="310" spans="1:19" x14ac:dyDescent="0.2">
      <c r="A310" s="185"/>
      <c r="B310" s="175"/>
      <c r="C310" s="175"/>
      <c r="D310" s="202" t="s">
        <v>1131</v>
      </c>
      <c r="G310" s="179"/>
      <c r="H310" s="196"/>
      <c r="I310" s="197" t="s">
        <v>1132</v>
      </c>
      <c r="J310" s="244"/>
      <c r="K310" s="265" t="s">
        <v>1384</v>
      </c>
      <c r="L310" s="265"/>
      <c r="M310" s="265"/>
      <c r="N310" s="265"/>
      <c r="O310" s="279" t="s">
        <v>1131</v>
      </c>
      <c r="P310" s="179"/>
      <c r="Q310" s="179"/>
      <c r="R310" s="179"/>
      <c r="S310" s="179"/>
    </row>
    <row r="311" spans="1:19" x14ac:dyDescent="0.2">
      <c r="A311" s="185"/>
      <c r="B311" s="175"/>
      <c r="C311" s="175"/>
      <c r="D311" s="202" t="s">
        <v>1131</v>
      </c>
      <c r="G311" s="179"/>
      <c r="H311" s="196"/>
      <c r="I311" s="197" t="s">
        <v>1135</v>
      </c>
      <c r="J311" s="244"/>
      <c r="K311" s="265" t="s">
        <v>1385</v>
      </c>
      <c r="L311" s="265"/>
      <c r="M311" s="265"/>
      <c r="N311" s="265"/>
      <c r="O311" s="279" t="s">
        <v>1131</v>
      </c>
      <c r="P311" s="179"/>
      <c r="Q311" s="179"/>
      <c r="R311" s="179"/>
      <c r="S311" s="179"/>
    </row>
    <row r="312" spans="1:19" x14ac:dyDescent="0.2">
      <c r="A312" s="185"/>
      <c r="B312" s="175"/>
      <c r="C312" s="175"/>
      <c r="D312" s="202" t="s">
        <v>1131</v>
      </c>
      <c r="G312" s="179"/>
      <c r="H312" s="196"/>
      <c r="I312" s="197" t="s">
        <v>889</v>
      </c>
      <c r="J312" s="244"/>
      <c r="K312" s="265" t="s">
        <v>1386</v>
      </c>
      <c r="L312" s="265"/>
      <c r="M312" s="265"/>
      <c r="N312" s="265"/>
      <c r="O312" s="279" t="s">
        <v>1131</v>
      </c>
      <c r="P312" s="179"/>
      <c r="Q312" s="179"/>
      <c r="R312" s="179"/>
      <c r="S312" s="179"/>
    </row>
    <row r="313" spans="1:19" ht="15.75" thickBot="1" x14ac:dyDescent="0.25">
      <c r="A313" s="185"/>
      <c r="B313" s="175"/>
      <c r="C313" s="175"/>
      <c r="D313" s="202" t="s">
        <v>1131</v>
      </c>
      <c r="G313" s="179"/>
      <c r="H313" s="216"/>
      <c r="I313" s="228" t="s">
        <v>1140</v>
      </c>
      <c r="J313" s="231"/>
      <c r="K313" s="267" t="s">
        <v>1387</v>
      </c>
      <c r="L313" s="267"/>
      <c r="M313" s="267"/>
      <c r="N313" s="267"/>
      <c r="O313" s="305" t="s">
        <v>1131</v>
      </c>
      <c r="P313" s="179"/>
      <c r="Q313" s="179"/>
      <c r="R313" s="179"/>
      <c r="S313" s="179"/>
    </row>
    <row r="314" spans="1:19" ht="15.75" thickTop="1" x14ac:dyDescent="0.2">
      <c r="A314" s="185">
        <v>40</v>
      </c>
      <c r="B314" s="175" t="s">
        <v>1388</v>
      </c>
      <c r="C314" s="175" t="s">
        <v>1284</v>
      </c>
      <c r="D314" s="202"/>
      <c r="G314" s="179"/>
      <c r="H314" s="223">
        <v>40</v>
      </c>
      <c r="I314" s="225"/>
      <c r="J314" s="236"/>
      <c r="K314" s="293" t="s">
        <v>1284</v>
      </c>
      <c r="L314" s="236"/>
      <c r="M314" s="236"/>
      <c r="N314" s="236"/>
      <c r="O314" s="247"/>
      <c r="P314" s="179"/>
      <c r="Q314" s="194">
        <f>H314</f>
        <v>40</v>
      </c>
      <c r="R314" s="184" t="str">
        <f>CONCATENATE("II-",TEXT(Q314,"0000"))</f>
        <v>II-0040</v>
      </c>
      <c r="S314" s="195" t="str">
        <f>K314</f>
        <v>FRESADO</v>
      </c>
    </row>
    <row r="315" spans="1:19" ht="15.75" thickBot="1" x14ac:dyDescent="0.25">
      <c r="A315" s="185"/>
      <c r="B315" s="175"/>
      <c r="C315" s="175"/>
      <c r="D315" s="202" t="s">
        <v>1214</v>
      </c>
      <c r="G315" s="179"/>
      <c r="H315" s="280"/>
      <c r="I315" s="281" t="s">
        <v>1020</v>
      </c>
      <c r="J315" s="282"/>
      <c r="K315" s="283" t="s">
        <v>1389</v>
      </c>
      <c r="L315" s="282"/>
      <c r="M315" s="282"/>
      <c r="N315" s="282"/>
      <c r="O315" s="269" t="s">
        <v>1214</v>
      </c>
      <c r="P315" s="179"/>
      <c r="Q315" s="179"/>
      <c r="R315" s="179"/>
      <c r="S315" s="179"/>
    </row>
    <row r="316" spans="1:19" ht="15.75" thickTop="1" x14ac:dyDescent="0.2">
      <c r="A316" s="185">
        <v>41</v>
      </c>
      <c r="B316" s="175" t="s">
        <v>1390</v>
      </c>
      <c r="C316" s="175" t="s">
        <v>1391</v>
      </c>
      <c r="D316" s="202"/>
      <c r="G316" s="179"/>
      <c r="H316" s="274">
        <v>41</v>
      </c>
      <c r="I316" s="224"/>
      <c r="J316" s="284"/>
      <c r="K316" s="285" t="s">
        <v>1391</v>
      </c>
      <c r="L316" s="285"/>
      <c r="M316" s="284"/>
      <c r="N316" s="284"/>
      <c r="O316" s="226"/>
      <c r="P316" s="179"/>
      <c r="Q316" s="194">
        <f>H316</f>
        <v>41</v>
      </c>
      <c r="R316" s="184" t="str">
        <f>CONCATENATE("II-",TEXT(Q316,"0000"))</f>
        <v>II-0041</v>
      </c>
      <c r="S316" s="195" t="str">
        <f>K316</f>
        <v>GAVIONES (PIEDRA EMBOLSADA)</v>
      </c>
    </row>
    <row r="317" spans="1:19" x14ac:dyDescent="0.2">
      <c r="A317" s="185"/>
      <c r="B317" s="175"/>
      <c r="C317" s="175"/>
      <c r="D317" s="202"/>
      <c r="G317" s="179"/>
      <c r="H317" s="280"/>
      <c r="I317" s="197" t="s">
        <v>1020</v>
      </c>
      <c r="J317" s="203"/>
      <c r="K317" s="206" t="s">
        <v>1300</v>
      </c>
      <c r="L317" s="205"/>
      <c r="M317" s="205"/>
      <c r="N317" s="205"/>
      <c r="O317" s="238"/>
      <c r="P317" s="179"/>
      <c r="Q317" s="179"/>
      <c r="R317" s="179"/>
      <c r="S317" s="179"/>
    </row>
    <row r="318" spans="1:19" x14ac:dyDescent="0.2">
      <c r="A318" s="185"/>
      <c r="B318" s="175"/>
      <c r="C318" s="175"/>
      <c r="D318" s="202" t="s">
        <v>1131</v>
      </c>
      <c r="G318" s="179"/>
      <c r="H318" s="280"/>
      <c r="I318" s="203"/>
      <c r="J318" s="204">
        <v>1</v>
      </c>
      <c r="K318" s="205"/>
      <c r="L318" s="206" t="s">
        <v>1392</v>
      </c>
      <c r="M318" s="205"/>
      <c r="N318" s="205"/>
      <c r="O318" s="238" t="s">
        <v>1131</v>
      </c>
      <c r="P318" s="179"/>
      <c r="Q318" s="179"/>
      <c r="R318" s="179"/>
      <c r="S318" s="179"/>
    </row>
    <row r="319" spans="1:19" x14ac:dyDescent="0.2">
      <c r="A319" s="185"/>
      <c r="B319" s="175"/>
      <c r="C319" s="175"/>
      <c r="D319" s="202" t="s">
        <v>1131</v>
      </c>
      <c r="G319" s="179"/>
      <c r="H319" s="280"/>
      <c r="I319" s="256"/>
      <c r="J319" s="210">
        <v>2</v>
      </c>
      <c r="K319" s="211"/>
      <c r="L319" s="212" t="s">
        <v>1393</v>
      </c>
      <c r="M319" s="211"/>
      <c r="N319" s="211"/>
      <c r="O319" s="257" t="s">
        <v>1131</v>
      </c>
      <c r="P319" s="179"/>
      <c r="Q319" s="179"/>
      <c r="R319" s="179"/>
      <c r="S319" s="179"/>
    </row>
    <row r="320" spans="1:19" x14ac:dyDescent="0.2">
      <c r="A320" s="185"/>
      <c r="B320" s="175"/>
      <c r="C320" s="175"/>
      <c r="D320" s="202"/>
      <c r="G320" s="179"/>
      <c r="H320" s="280"/>
      <c r="I320" s="210" t="s">
        <v>1047</v>
      </c>
      <c r="J320" s="203"/>
      <c r="K320" s="206" t="s">
        <v>1299</v>
      </c>
      <c r="L320" s="205"/>
      <c r="M320" s="205"/>
      <c r="N320" s="205"/>
      <c r="O320" s="238"/>
      <c r="P320" s="179"/>
      <c r="Q320" s="179"/>
      <c r="R320" s="179"/>
      <c r="S320" s="179"/>
    </row>
    <row r="321" spans="1:19" x14ac:dyDescent="0.2">
      <c r="A321" s="185"/>
      <c r="B321" s="175"/>
      <c r="C321" s="175"/>
      <c r="D321" s="202" t="s">
        <v>1131</v>
      </c>
      <c r="G321" s="179"/>
      <c r="H321" s="280"/>
      <c r="I321" s="203"/>
      <c r="J321" s="204">
        <v>1</v>
      </c>
      <c r="K321" s="205"/>
      <c r="L321" s="206" t="s">
        <v>1392</v>
      </c>
      <c r="M321" s="205"/>
      <c r="N321" s="205"/>
      <c r="O321" s="238" t="s">
        <v>1131</v>
      </c>
      <c r="P321" s="179"/>
      <c r="Q321" s="179"/>
      <c r="R321" s="179"/>
      <c r="S321" s="179"/>
    </row>
    <row r="322" spans="1:19" x14ac:dyDescent="0.2">
      <c r="A322" s="185"/>
      <c r="B322" s="175"/>
      <c r="C322" s="175"/>
      <c r="D322" s="202" t="s">
        <v>1131</v>
      </c>
      <c r="G322" s="179"/>
      <c r="H322" s="280"/>
      <c r="I322" s="215"/>
      <c r="J322" s="210">
        <v>2</v>
      </c>
      <c r="K322" s="211"/>
      <c r="L322" s="212" t="s">
        <v>1393</v>
      </c>
      <c r="M322" s="211"/>
      <c r="N322" s="211"/>
      <c r="O322" s="257" t="s">
        <v>1131</v>
      </c>
      <c r="P322" s="179"/>
      <c r="Q322" s="179"/>
      <c r="R322" s="179"/>
      <c r="S322" s="179"/>
    </row>
    <row r="323" spans="1:19" x14ac:dyDescent="0.2">
      <c r="A323" s="185"/>
      <c r="B323" s="175"/>
      <c r="C323" s="175"/>
      <c r="D323" s="202" t="s">
        <v>1131</v>
      </c>
      <c r="G323" s="205"/>
      <c r="H323" s="280"/>
      <c r="I323" s="298" t="s">
        <v>1057</v>
      </c>
      <c r="J323" s="329"/>
      <c r="K323" s="311" t="s">
        <v>1089</v>
      </c>
      <c r="L323" s="311"/>
      <c r="M323" s="329"/>
      <c r="N323" s="329"/>
      <c r="O323" s="264" t="s">
        <v>1131</v>
      </c>
      <c r="P323" s="205"/>
      <c r="Q323" s="205"/>
      <c r="R323" s="205"/>
      <c r="S323" s="205"/>
    </row>
    <row r="324" spans="1:19" ht="15.75" thickBot="1" x14ac:dyDescent="0.25">
      <c r="A324" s="185"/>
      <c r="B324" s="175"/>
      <c r="C324" s="175"/>
      <c r="D324" s="202" t="s">
        <v>1131</v>
      </c>
      <c r="G324" s="179"/>
      <c r="H324" s="280"/>
      <c r="I324" s="294" t="s">
        <v>1083</v>
      </c>
      <c r="J324" s="282"/>
      <c r="K324" s="283" t="s">
        <v>1137</v>
      </c>
      <c r="L324" s="283"/>
      <c r="M324" s="282"/>
      <c r="N324" s="282"/>
      <c r="O324" s="269" t="s">
        <v>1131</v>
      </c>
      <c r="P324" s="179"/>
      <c r="Q324" s="179"/>
      <c r="R324" s="179"/>
      <c r="S324" s="179"/>
    </row>
    <row r="325" spans="1:19" ht="16.5" thickTop="1" thickBot="1" x14ac:dyDescent="0.25">
      <c r="A325" s="185">
        <v>42</v>
      </c>
      <c r="B325" s="175" t="s">
        <v>1394</v>
      </c>
      <c r="C325" s="175" t="s">
        <v>1395</v>
      </c>
      <c r="D325" s="202" t="s">
        <v>5</v>
      </c>
      <c r="G325" s="205"/>
      <c r="H325" s="320">
        <v>42</v>
      </c>
      <c r="I325" s="321"/>
      <c r="J325" s="322"/>
      <c r="K325" s="323" t="s">
        <v>1395</v>
      </c>
      <c r="L325" s="323"/>
      <c r="M325" s="322"/>
      <c r="N325" s="322"/>
      <c r="O325" s="324" t="s">
        <v>5</v>
      </c>
      <c r="P325" s="205"/>
      <c r="Q325" s="194">
        <f t="shared" ref="Q325:Q326" si="45">H325</f>
        <v>42</v>
      </c>
      <c r="R325" s="184" t="str">
        <f t="shared" ref="R325:R326" si="46">CONCATENATE("II-",TEXT(Q325,"0000"))</f>
        <v>II-0042</v>
      </c>
      <c r="S325" s="195" t="str">
        <f t="shared" ref="S325:S326" si="47">K325</f>
        <v>GUARDAGANADO</v>
      </c>
    </row>
    <row r="326" spans="1:19" ht="15.75" thickTop="1" x14ac:dyDescent="0.2">
      <c r="A326" s="185">
        <v>43</v>
      </c>
      <c r="B326" s="175" t="s">
        <v>1396</v>
      </c>
      <c r="C326" s="175" t="s">
        <v>1397</v>
      </c>
      <c r="D326" s="202"/>
      <c r="G326" s="179"/>
      <c r="H326" s="223">
        <v>43</v>
      </c>
      <c r="I326" s="225"/>
      <c r="J326" s="236"/>
      <c r="K326" s="293" t="s">
        <v>1397</v>
      </c>
      <c r="L326" s="236"/>
      <c r="M326" s="236"/>
      <c r="N326" s="236"/>
      <c r="O326" s="247"/>
      <c r="P326" s="179"/>
      <c r="Q326" s="194">
        <f t="shared" si="45"/>
        <v>43</v>
      </c>
      <c r="R326" s="184" t="str">
        <f t="shared" si="46"/>
        <v>II-0043</v>
      </c>
      <c r="S326" s="195" t="str">
        <f t="shared" si="47"/>
        <v>HORMIGON CEMENTO PORTLAND EXCLUIDA LA ARAMDURA</v>
      </c>
    </row>
    <row r="327" spans="1:19" x14ac:dyDescent="0.2">
      <c r="A327" s="185"/>
      <c r="B327" s="175"/>
      <c r="C327" s="175"/>
      <c r="D327" s="202"/>
      <c r="G327" s="179"/>
      <c r="H327" s="196"/>
      <c r="I327" s="197" t="s">
        <v>1020</v>
      </c>
      <c r="J327" s="203"/>
      <c r="K327" s="206" t="s">
        <v>1398</v>
      </c>
      <c r="L327" s="205"/>
      <c r="M327" s="205"/>
      <c r="N327" s="205"/>
      <c r="O327" s="238"/>
      <c r="P327" s="179"/>
      <c r="Q327" s="179"/>
      <c r="R327" s="179"/>
      <c r="S327" s="179"/>
    </row>
    <row r="328" spans="1:19" x14ac:dyDescent="0.2">
      <c r="A328" s="185"/>
      <c r="B328" s="175"/>
      <c r="C328" s="175"/>
      <c r="D328" s="202" t="s">
        <v>1131</v>
      </c>
      <c r="G328" s="179"/>
      <c r="H328" s="196"/>
      <c r="I328" s="203"/>
      <c r="J328" s="204">
        <v>1</v>
      </c>
      <c r="K328" s="205"/>
      <c r="L328" s="206" t="s">
        <v>1399</v>
      </c>
      <c r="M328" s="205"/>
      <c r="N328" s="205"/>
      <c r="O328" s="238" t="s">
        <v>1131</v>
      </c>
      <c r="P328" s="179"/>
      <c r="Q328" s="179"/>
      <c r="R328" s="179"/>
      <c r="S328" s="179"/>
    </row>
    <row r="329" spans="1:19" x14ac:dyDescent="0.2">
      <c r="A329" s="185"/>
      <c r="B329" s="175"/>
      <c r="C329" s="175"/>
      <c r="D329" s="202" t="s">
        <v>1131</v>
      </c>
      <c r="G329" s="179"/>
      <c r="H329" s="196"/>
      <c r="I329" s="203"/>
      <c r="J329" s="204">
        <v>2</v>
      </c>
      <c r="K329" s="205"/>
      <c r="L329" s="206" t="s">
        <v>1229</v>
      </c>
      <c r="M329" s="205"/>
      <c r="N329" s="205"/>
      <c r="O329" s="238" t="s">
        <v>1131</v>
      </c>
      <c r="P329" s="179"/>
      <c r="Q329" s="179"/>
      <c r="R329" s="179"/>
      <c r="S329" s="179"/>
    </row>
    <row r="330" spans="1:19" x14ac:dyDescent="0.2">
      <c r="A330" s="185"/>
      <c r="B330" s="175"/>
      <c r="C330" s="175"/>
      <c r="D330" s="202" t="s">
        <v>1131</v>
      </c>
      <c r="G330" s="179"/>
      <c r="H330" s="196"/>
      <c r="I330" s="203"/>
      <c r="J330" s="204">
        <v>3</v>
      </c>
      <c r="K330" s="205"/>
      <c r="L330" s="206" t="s">
        <v>1400</v>
      </c>
      <c r="M330" s="205"/>
      <c r="N330" s="205"/>
      <c r="O330" s="238" t="s">
        <v>1131</v>
      </c>
      <c r="P330" s="179"/>
      <c r="Q330" s="179"/>
      <c r="R330" s="179"/>
      <c r="S330" s="179"/>
    </row>
    <row r="331" spans="1:19" x14ac:dyDescent="0.2">
      <c r="A331" s="185"/>
      <c r="B331" s="175"/>
      <c r="C331" s="175"/>
      <c r="D331" s="202" t="s">
        <v>1131</v>
      </c>
      <c r="G331" s="179"/>
      <c r="H331" s="196"/>
      <c r="I331" s="203"/>
      <c r="J331" s="204">
        <v>4</v>
      </c>
      <c r="K331" s="205"/>
      <c r="L331" s="206" t="s">
        <v>1380</v>
      </c>
      <c r="M331" s="205"/>
      <c r="N331" s="205"/>
      <c r="O331" s="238" t="s">
        <v>1131</v>
      </c>
      <c r="P331" s="179"/>
      <c r="Q331" s="179"/>
      <c r="R331" s="179"/>
      <c r="S331" s="179"/>
    </row>
    <row r="332" spans="1:19" x14ac:dyDescent="0.2">
      <c r="A332" s="185"/>
      <c r="B332" s="175"/>
      <c r="C332" s="175"/>
      <c r="D332" s="202" t="s">
        <v>1131</v>
      </c>
      <c r="G332" s="179"/>
      <c r="H332" s="196"/>
      <c r="I332" s="215"/>
      <c r="J332" s="210">
        <v>5</v>
      </c>
      <c r="K332" s="211"/>
      <c r="L332" s="212" t="s">
        <v>1401</v>
      </c>
      <c r="M332" s="211"/>
      <c r="N332" s="211"/>
      <c r="O332" s="257" t="s">
        <v>1131</v>
      </c>
      <c r="P332" s="179"/>
      <c r="Q332" s="179"/>
      <c r="R332" s="179"/>
      <c r="S332" s="179"/>
    </row>
    <row r="333" spans="1:19" x14ac:dyDescent="0.2">
      <c r="A333" s="185"/>
      <c r="B333" s="175"/>
      <c r="C333" s="175"/>
      <c r="D333" s="202"/>
      <c r="G333" s="179"/>
      <c r="H333" s="196"/>
      <c r="I333" s="197" t="s">
        <v>1047</v>
      </c>
      <c r="J333" s="203"/>
      <c r="K333" s="206" t="s">
        <v>1402</v>
      </c>
      <c r="L333" s="205"/>
      <c r="M333" s="205"/>
      <c r="N333" s="205"/>
      <c r="O333" s="238"/>
      <c r="P333" s="179"/>
      <c r="Q333" s="179"/>
      <c r="R333" s="179"/>
      <c r="S333" s="179"/>
    </row>
    <row r="334" spans="1:19" x14ac:dyDescent="0.2">
      <c r="A334" s="185"/>
      <c r="B334" s="175"/>
      <c r="C334" s="175"/>
      <c r="D334" s="202" t="s">
        <v>1131</v>
      </c>
      <c r="G334" s="179"/>
      <c r="H334" s="196"/>
      <c r="I334" s="203"/>
      <c r="J334" s="204">
        <v>1</v>
      </c>
      <c r="K334" s="205"/>
      <c r="L334" s="206" t="s">
        <v>1229</v>
      </c>
      <c r="M334" s="205"/>
      <c r="N334" s="205"/>
      <c r="O334" s="238" t="s">
        <v>1131</v>
      </c>
      <c r="P334" s="179"/>
      <c r="Q334" s="179"/>
      <c r="R334" s="179"/>
      <c r="S334" s="179"/>
    </row>
    <row r="335" spans="1:19" x14ac:dyDescent="0.2">
      <c r="A335" s="185"/>
      <c r="B335" s="175"/>
      <c r="C335" s="175"/>
      <c r="D335" s="202" t="s">
        <v>1131</v>
      </c>
      <c r="G335" s="179"/>
      <c r="H335" s="196"/>
      <c r="I335" s="203"/>
      <c r="J335" s="204">
        <v>2</v>
      </c>
      <c r="K335" s="205"/>
      <c r="L335" s="206" t="s">
        <v>1403</v>
      </c>
      <c r="M335" s="205"/>
      <c r="N335" s="205"/>
      <c r="O335" s="238" t="s">
        <v>1131</v>
      </c>
      <c r="P335" s="179"/>
      <c r="Q335" s="179"/>
      <c r="R335" s="179"/>
      <c r="S335" s="179"/>
    </row>
    <row r="336" spans="1:19" x14ac:dyDescent="0.2">
      <c r="A336" s="185"/>
      <c r="B336" s="175"/>
      <c r="C336" s="175"/>
      <c r="D336" s="202" t="s">
        <v>1131</v>
      </c>
      <c r="G336" s="179"/>
      <c r="H336" s="196"/>
      <c r="I336" s="203"/>
      <c r="J336" s="204">
        <v>3</v>
      </c>
      <c r="K336" s="205"/>
      <c r="L336" s="206" t="s">
        <v>1404</v>
      </c>
      <c r="M336" s="205"/>
      <c r="N336" s="205"/>
      <c r="O336" s="238" t="s">
        <v>1131</v>
      </c>
      <c r="P336" s="179"/>
      <c r="Q336" s="179"/>
      <c r="R336" s="179"/>
      <c r="S336" s="179"/>
    </row>
    <row r="337" spans="1:19" x14ac:dyDescent="0.2">
      <c r="A337" s="185"/>
      <c r="B337" s="175"/>
      <c r="C337" s="175"/>
      <c r="D337" s="202" t="s">
        <v>1131</v>
      </c>
      <c r="G337" s="179"/>
      <c r="H337" s="196"/>
      <c r="I337" s="203"/>
      <c r="J337" s="204">
        <v>4</v>
      </c>
      <c r="K337" s="205"/>
      <c r="L337" s="206" t="s">
        <v>1405</v>
      </c>
      <c r="M337" s="205"/>
      <c r="N337" s="205"/>
      <c r="O337" s="238" t="s">
        <v>1131</v>
      </c>
      <c r="P337" s="179"/>
      <c r="Q337" s="179"/>
      <c r="R337" s="179"/>
      <c r="S337" s="179"/>
    </row>
    <row r="338" spans="1:19" x14ac:dyDescent="0.2">
      <c r="A338" s="185"/>
      <c r="B338" s="175"/>
      <c r="C338" s="175"/>
      <c r="D338" s="202" t="s">
        <v>1131</v>
      </c>
      <c r="G338" s="179"/>
      <c r="H338" s="196"/>
      <c r="I338" s="203"/>
      <c r="J338" s="204">
        <v>5</v>
      </c>
      <c r="K338" s="205"/>
      <c r="L338" s="206" t="s">
        <v>1406</v>
      </c>
      <c r="M338" s="205"/>
      <c r="N338" s="205"/>
      <c r="O338" s="238" t="s">
        <v>1131</v>
      </c>
      <c r="P338" s="179"/>
      <c r="Q338" s="179"/>
      <c r="R338" s="179"/>
      <c r="S338" s="179"/>
    </row>
    <row r="339" spans="1:19" x14ac:dyDescent="0.2">
      <c r="A339" s="185"/>
      <c r="B339" s="175"/>
      <c r="C339" s="175"/>
      <c r="D339" s="202" t="s">
        <v>1131</v>
      </c>
      <c r="G339" s="179"/>
      <c r="H339" s="196"/>
      <c r="I339" s="256"/>
      <c r="J339" s="203">
        <v>6</v>
      </c>
      <c r="K339" s="206"/>
      <c r="L339" s="205" t="s">
        <v>1401</v>
      </c>
      <c r="M339" s="205"/>
      <c r="N339" s="205"/>
      <c r="O339" s="238" t="s">
        <v>1131</v>
      </c>
      <c r="P339" s="179"/>
      <c r="Q339" s="179"/>
      <c r="R339" s="179"/>
      <c r="S339" s="179"/>
    </row>
    <row r="340" spans="1:19" x14ac:dyDescent="0.2">
      <c r="A340" s="185"/>
      <c r="B340" s="175"/>
      <c r="C340" s="175"/>
      <c r="D340" s="202"/>
      <c r="G340" s="179"/>
      <c r="H340" s="196"/>
      <c r="I340" s="210" t="s">
        <v>1057</v>
      </c>
      <c r="J340" s="203"/>
      <c r="K340" s="206" t="s">
        <v>1407</v>
      </c>
      <c r="L340" s="205"/>
      <c r="M340" s="205"/>
      <c r="N340" s="205"/>
      <c r="O340" s="238"/>
      <c r="P340" s="179"/>
      <c r="Q340" s="179"/>
      <c r="R340" s="179"/>
      <c r="S340" s="179"/>
    </row>
    <row r="341" spans="1:19" x14ac:dyDescent="0.2">
      <c r="A341" s="185"/>
      <c r="B341" s="175"/>
      <c r="C341" s="175"/>
      <c r="D341" s="202" t="s">
        <v>1131</v>
      </c>
      <c r="G341" s="179"/>
      <c r="H341" s="196"/>
      <c r="I341" s="203"/>
      <c r="J341" s="204">
        <v>1</v>
      </c>
      <c r="K341" s="205"/>
      <c r="L341" s="206" t="s">
        <v>1408</v>
      </c>
      <c r="M341" s="205"/>
      <c r="N341" s="205"/>
      <c r="O341" s="238" t="s">
        <v>1131</v>
      </c>
      <c r="P341" s="179"/>
      <c r="Q341" s="179"/>
      <c r="R341" s="179"/>
      <c r="S341" s="179"/>
    </row>
    <row r="342" spans="1:19" x14ac:dyDescent="0.2">
      <c r="A342" s="185"/>
      <c r="B342" s="175"/>
      <c r="C342" s="175"/>
      <c r="D342" s="202" t="s">
        <v>1131</v>
      </c>
      <c r="G342" s="179"/>
      <c r="H342" s="196"/>
      <c r="I342" s="203"/>
      <c r="J342" s="204">
        <v>2</v>
      </c>
      <c r="K342" s="205"/>
      <c r="L342" s="206" t="s">
        <v>1229</v>
      </c>
      <c r="M342" s="205"/>
      <c r="N342" s="205"/>
      <c r="O342" s="238" t="s">
        <v>1131</v>
      </c>
      <c r="P342" s="179"/>
      <c r="Q342" s="179"/>
      <c r="R342" s="179"/>
      <c r="S342" s="179"/>
    </row>
    <row r="343" spans="1:19" x14ac:dyDescent="0.2">
      <c r="A343" s="185"/>
      <c r="B343" s="175"/>
      <c r="C343" s="175"/>
      <c r="D343" s="202" t="s">
        <v>1131</v>
      </c>
      <c r="G343" s="179"/>
      <c r="H343" s="196"/>
      <c r="I343" s="203"/>
      <c r="J343" s="204">
        <v>3</v>
      </c>
      <c r="K343" s="205"/>
      <c r="L343" s="206" t="s">
        <v>1409</v>
      </c>
      <c r="M343" s="205"/>
      <c r="N343" s="205"/>
      <c r="O343" s="238" t="s">
        <v>1131</v>
      </c>
      <c r="P343" s="179"/>
      <c r="Q343" s="179"/>
      <c r="R343" s="179"/>
      <c r="S343" s="179"/>
    </row>
    <row r="344" spans="1:19" x14ac:dyDescent="0.2">
      <c r="A344" s="185"/>
      <c r="B344" s="175"/>
      <c r="C344" s="175"/>
      <c r="D344" s="202" t="s">
        <v>1131</v>
      </c>
      <c r="G344" s="179"/>
      <c r="H344" s="196"/>
      <c r="I344" s="203"/>
      <c r="J344" s="204">
        <v>4</v>
      </c>
      <c r="K344" s="205"/>
      <c r="L344" s="206" t="s">
        <v>1403</v>
      </c>
      <c r="M344" s="205"/>
      <c r="N344" s="205"/>
      <c r="O344" s="238" t="s">
        <v>1131</v>
      </c>
      <c r="P344" s="179"/>
      <c r="Q344" s="179"/>
      <c r="R344" s="179"/>
      <c r="S344" s="179"/>
    </row>
    <row r="345" spans="1:19" x14ac:dyDescent="0.2">
      <c r="A345" s="185"/>
      <c r="B345" s="175"/>
      <c r="C345" s="175"/>
      <c r="D345" s="202" t="s">
        <v>1131</v>
      </c>
      <c r="G345" s="179"/>
      <c r="H345" s="196"/>
      <c r="I345" s="203"/>
      <c r="J345" s="204">
        <v>5</v>
      </c>
      <c r="K345" s="205"/>
      <c r="L345" s="206" t="s">
        <v>1340</v>
      </c>
      <c r="M345" s="205"/>
      <c r="N345" s="205"/>
      <c r="O345" s="238" t="s">
        <v>1131</v>
      </c>
      <c r="P345" s="179"/>
      <c r="Q345" s="179"/>
      <c r="R345" s="179"/>
      <c r="S345" s="179"/>
    </row>
    <row r="346" spans="1:19" x14ac:dyDescent="0.2">
      <c r="A346" s="185"/>
      <c r="B346" s="175"/>
      <c r="C346" s="175"/>
      <c r="D346" s="202" t="s">
        <v>1131</v>
      </c>
      <c r="G346" s="179"/>
      <c r="H346" s="196"/>
      <c r="I346" s="203"/>
      <c r="J346" s="204">
        <v>6</v>
      </c>
      <c r="K346" s="205"/>
      <c r="L346" s="206" t="s">
        <v>1405</v>
      </c>
      <c r="M346" s="205"/>
      <c r="N346" s="205"/>
      <c r="O346" s="238" t="s">
        <v>1131</v>
      </c>
      <c r="P346" s="179"/>
      <c r="Q346" s="179"/>
      <c r="R346" s="179"/>
      <c r="S346" s="179"/>
    </row>
    <row r="347" spans="1:19" x14ac:dyDescent="0.2">
      <c r="A347" s="185"/>
      <c r="B347" s="175"/>
      <c r="C347" s="175"/>
      <c r="D347" s="202" t="s">
        <v>1131</v>
      </c>
      <c r="G347" s="179"/>
      <c r="H347" s="196"/>
      <c r="I347" s="203"/>
      <c r="J347" s="204">
        <v>7</v>
      </c>
      <c r="K347" s="205"/>
      <c r="L347" s="206" t="s">
        <v>1406</v>
      </c>
      <c r="M347" s="205"/>
      <c r="N347" s="205"/>
      <c r="O347" s="238" t="s">
        <v>1131</v>
      </c>
      <c r="P347" s="179"/>
      <c r="Q347" s="179"/>
      <c r="R347" s="179"/>
      <c r="S347" s="179"/>
    </row>
    <row r="348" spans="1:19" x14ac:dyDescent="0.2">
      <c r="A348" s="185"/>
      <c r="B348" s="175"/>
      <c r="C348" s="175"/>
      <c r="D348" s="202" t="s">
        <v>1131</v>
      </c>
      <c r="G348" s="179"/>
      <c r="H348" s="196"/>
      <c r="I348" s="256"/>
      <c r="J348" s="210">
        <v>8</v>
      </c>
      <c r="K348" s="211"/>
      <c r="L348" s="212" t="s">
        <v>1401</v>
      </c>
      <c r="M348" s="211"/>
      <c r="N348" s="211"/>
      <c r="O348" s="257" t="s">
        <v>1131</v>
      </c>
      <c r="P348" s="179"/>
      <c r="Q348" s="179"/>
      <c r="R348" s="179"/>
      <c r="S348" s="179"/>
    </row>
    <row r="349" spans="1:19" x14ac:dyDescent="0.2">
      <c r="A349" s="185"/>
      <c r="B349" s="175"/>
      <c r="C349" s="175"/>
      <c r="D349" s="202"/>
      <c r="G349" s="179"/>
      <c r="H349" s="196"/>
      <c r="I349" s="210" t="s">
        <v>1083</v>
      </c>
      <c r="J349" s="203"/>
      <c r="K349" s="206" t="s">
        <v>1410</v>
      </c>
      <c r="L349" s="205"/>
      <c r="M349" s="205"/>
      <c r="N349" s="205"/>
      <c r="O349" s="238"/>
      <c r="P349" s="179"/>
      <c r="Q349" s="179"/>
      <c r="R349" s="179"/>
      <c r="S349" s="179"/>
    </row>
    <row r="350" spans="1:19" x14ac:dyDescent="0.2">
      <c r="A350" s="185"/>
      <c r="B350" s="175"/>
      <c r="C350" s="175"/>
      <c r="D350" s="202" t="s">
        <v>1131</v>
      </c>
      <c r="G350" s="179"/>
      <c r="H350" s="196"/>
      <c r="I350" s="203"/>
      <c r="J350" s="204">
        <v>1</v>
      </c>
      <c r="K350" s="205"/>
      <c r="L350" s="206" t="s">
        <v>1408</v>
      </c>
      <c r="M350" s="205"/>
      <c r="N350" s="205"/>
      <c r="O350" s="238" t="s">
        <v>1131</v>
      </c>
      <c r="P350" s="179"/>
      <c r="Q350" s="179"/>
      <c r="R350" s="179"/>
      <c r="S350" s="179"/>
    </row>
    <row r="351" spans="1:19" x14ac:dyDescent="0.2">
      <c r="A351" s="185"/>
      <c r="B351" s="175"/>
      <c r="C351" s="175"/>
      <c r="D351" s="202" t="s">
        <v>1131</v>
      </c>
      <c r="G351" s="179"/>
      <c r="H351" s="196"/>
      <c r="I351" s="203"/>
      <c r="J351" s="204">
        <v>2</v>
      </c>
      <c r="K351" s="205"/>
      <c r="L351" s="206" t="s">
        <v>1229</v>
      </c>
      <c r="M351" s="205"/>
      <c r="N351" s="205"/>
      <c r="O351" s="238" t="s">
        <v>1131</v>
      </c>
      <c r="P351" s="179"/>
      <c r="Q351" s="179"/>
      <c r="R351" s="179"/>
      <c r="S351" s="179"/>
    </row>
    <row r="352" spans="1:19" x14ac:dyDescent="0.2">
      <c r="A352" s="185"/>
      <c r="B352" s="175"/>
      <c r="C352" s="175"/>
      <c r="D352" s="202" t="s">
        <v>1131</v>
      </c>
      <c r="G352" s="179"/>
      <c r="H352" s="196"/>
      <c r="I352" s="203"/>
      <c r="J352" s="204">
        <v>3</v>
      </c>
      <c r="K352" s="205"/>
      <c r="L352" s="206" t="s">
        <v>1411</v>
      </c>
      <c r="M352" s="205"/>
      <c r="N352" s="205"/>
      <c r="O352" s="238" t="s">
        <v>1131</v>
      </c>
      <c r="P352" s="179"/>
      <c r="Q352" s="179"/>
      <c r="R352" s="179"/>
      <c r="S352" s="179"/>
    </row>
    <row r="353" spans="1:19" x14ac:dyDescent="0.2">
      <c r="A353" s="185"/>
      <c r="B353" s="175"/>
      <c r="C353" s="175"/>
      <c r="D353" s="202" t="s">
        <v>1131</v>
      </c>
      <c r="G353" s="179"/>
      <c r="H353" s="196"/>
      <c r="I353" s="203"/>
      <c r="J353" s="204">
        <v>4</v>
      </c>
      <c r="K353" s="205"/>
      <c r="L353" s="206" t="s">
        <v>1409</v>
      </c>
      <c r="M353" s="205"/>
      <c r="N353" s="205"/>
      <c r="O353" s="238" t="s">
        <v>1131</v>
      </c>
      <c r="P353" s="179"/>
      <c r="Q353" s="179"/>
      <c r="R353" s="179"/>
      <c r="S353" s="179"/>
    </row>
    <row r="354" spans="1:19" x14ac:dyDescent="0.2">
      <c r="A354" s="185"/>
      <c r="B354" s="175"/>
      <c r="C354" s="175"/>
      <c r="D354" s="202" t="s">
        <v>1131</v>
      </c>
      <c r="G354" s="179"/>
      <c r="H354" s="196"/>
      <c r="I354" s="203"/>
      <c r="J354" s="204">
        <v>5</v>
      </c>
      <c r="K354" s="205"/>
      <c r="L354" s="206" t="s">
        <v>1340</v>
      </c>
      <c r="M354" s="205"/>
      <c r="N354" s="205"/>
      <c r="O354" s="238" t="s">
        <v>1131</v>
      </c>
      <c r="P354" s="179"/>
      <c r="Q354" s="179"/>
      <c r="R354" s="179"/>
      <c r="S354" s="179"/>
    </row>
    <row r="355" spans="1:19" x14ac:dyDescent="0.2">
      <c r="A355" s="185"/>
      <c r="B355" s="175"/>
      <c r="C355" s="175"/>
      <c r="D355" s="202" t="s">
        <v>1131</v>
      </c>
      <c r="G355" s="179"/>
      <c r="H355" s="196"/>
      <c r="I355" s="203"/>
      <c r="J355" s="204">
        <v>6</v>
      </c>
      <c r="K355" s="205"/>
      <c r="L355" s="206" t="s">
        <v>1412</v>
      </c>
      <c r="M355" s="205"/>
      <c r="N355" s="205"/>
      <c r="O355" s="238" t="s">
        <v>1131</v>
      </c>
      <c r="P355" s="179"/>
      <c r="Q355" s="179"/>
      <c r="R355" s="179"/>
      <c r="S355" s="179"/>
    </row>
    <row r="356" spans="1:19" x14ac:dyDescent="0.2">
      <c r="A356" s="185"/>
      <c r="B356" s="175"/>
      <c r="C356" s="175"/>
      <c r="D356" s="202" t="s">
        <v>1131</v>
      </c>
      <c r="G356" s="179"/>
      <c r="H356" s="196"/>
      <c r="I356" s="203"/>
      <c r="J356" s="204">
        <v>7</v>
      </c>
      <c r="K356" s="205"/>
      <c r="L356" s="206" t="s">
        <v>1413</v>
      </c>
      <c r="M356" s="205"/>
      <c r="N356" s="205"/>
      <c r="O356" s="238" t="s">
        <v>1131</v>
      </c>
      <c r="P356" s="179"/>
      <c r="Q356" s="179"/>
      <c r="R356" s="179"/>
      <c r="S356" s="179"/>
    </row>
    <row r="357" spans="1:19" x14ac:dyDescent="0.2">
      <c r="A357" s="185"/>
      <c r="B357" s="175"/>
      <c r="C357" s="175"/>
      <c r="D357" s="202" t="s">
        <v>1131</v>
      </c>
      <c r="G357" s="179"/>
      <c r="H357" s="196"/>
      <c r="I357" s="203"/>
      <c r="J357" s="204">
        <v>8</v>
      </c>
      <c r="K357" s="205"/>
      <c r="L357" s="206" t="s">
        <v>1414</v>
      </c>
      <c r="M357" s="205"/>
      <c r="N357" s="205"/>
      <c r="O357" s="238" t="s">
        <v>1131</v>
      </c>
      <c r="P357" s="179"/>
      <c r="Q357" s="179"/>
      <c r="R357" s="179"/>
      <c r="S357" s="179"/>
    </row>
    <row r="358" spans="1:19" x14ac:dyDescent="0.2">
      <c r="A358" s="185"/>
      <c r="B358" s="175"/>
      <c r="C358" s="175"/>
      <c r="D358" s="202" t="s">
        <v>1131</v>
      </c>
      <c r="G358" s="179"/>
      <c r="H358" s="196"/>
      <c r="I358" s="215"/>
      <c r="J358" s="210">
        <v>9</v>
      </c>
      <c r="K358" s="211"/>
      <c r="L358" s="212" t="s">
        <v>1401</v>
      </c>
      <c r="M358" s="211"/>
      <c r="N358" s="211"/>
      <c r="O358" s="257" t="s">
        <v>1131</v>
      </c>
      <c r="P358" s="179"/>
      <c r="Q358" s="179"/>
      <c r="R358" s="179"/>
      <c r="S358" s="179"/>
    </row>
    <row r="359" spans="1:19" x14ac:dyDescent="0.2">
      <c r="A359" s="185"/>
      <c r="B359" s="175"/>
      <c r="C359" s="175"/>
      <c r="D359" s="202"/>
      <c r="G359" s="179"/>
      <c r="H359" s="196"/>
      <c r="I359" s="210" t="s">
        <v>1125</v>
      </c>
      <c r="J359" s="203"/>
      <c r="K359" s="206" t="s">
        <v>1415</v>
      </c>
      <c r="L359" s="205"/>
      <c r="M359" s="205"/>
      <c r="N359" s="205"/>
      <c r="O359" s="238"/>
      <c r="P359" s="179"/>
      <c r="Q359" s="179"/>
      <c r="R359" s="179"/>
      <c r="S359" s="179"/>
    </row>
    <row r="360" spans="1:19" x14ac:dyDescent="0.2">
      <c r="A360" s="185"/>
      <c r="B360" s="175"/>
      <c r="C360" s="175"/>
      <c r="D360" s="202" t="s">
        <v>1131</v>
      </c>
      <c r="G360" s="179"/>
      <c r="H360" s="196"/>
      <c r="I360" s="203"/>
      <c r="J360" s="204">
        <v>1</v>
      </c>
      <c r="K360" s="205"/>
      <c r="L360" s="206" t="s">
        <v>1229</v>
      </c>
      <c r="M360" s="205"/>
      <c r="N360" s="205"/>
      <c r="O360" s="238" t="s">
        <v>1131</v>
      </c>
      <c r="P360" s="179"/>
      <c r="Q360" s="179"/>
      <c r="R360" s="179"/>
      <c r="S360" s="179"/>
    </row>
    <row r="361" spans="1:19" x14ac:dyDescent="0.2">
      <c r="A361" s="185"/>
      <c r="B361" s="175"/>
      <c r="C361" s="175"/>
      <c r="D361" s="202" t="s">
        <v>1131</v>
      </c>
      <c r="G361" s="179"/>
      <c r="H361" s="196"/>
      <c r="I361" s="203"/>
      <c r="J361" s="204">
        <v>2</v>
      </c>
      <c r="K361" s="205"/>
      <c r="L361" s="206" t="s">
        <v>1416</v>
      </c>
      <c r="M361" s="205"/>
      <c r="N361" s="205"/>
      <c r="O361" s="238" t="s">
        <v>1131</v>
      </c>
      <c r="P361" s="179"/>
      <c r="Q361" s="179"/>
      <c r="R361" s="179"/>
      <c r="S361" s="179"/>
    </row>
    <row r="362" spans="1:19" x14ac:dyDescent="0.2">
      <c r="A362" s="185"/>
      <c r="B362" s="175"/>
      <c r="C362" s="175"/>
      <c r="D362" s="202" t="s">
        <v>1131</v>
      </c>
      <c r="G362" s="179"/>
      <c r="H362" s="196"/>
      <c r="I362" s="203"/>
      <c r="J362" s="204">
        <v>3</v>
      </c>
      <c r="K362" s="205"/>
      <c r="L362" s="206" t="s">
        <v>1417</v>
      </c>
      <c r="M362" s="205"/>
      <c r="N362" s="205"/>
      <c r="O362" s="238" t="s">
        <v>1131</v>
      </c>
      <c r="P362" s="179"/>
      <c r="Q362" s="179"/>
      <c r="R362" s="179"/>
      <c r="S362" s="179"/>
    </row>
    <row r="363" spans="1:19" x14ac:dyDescent="0.2">
      <c r="A363" s="185"/>
      <c r="B363" s="175"/>
      <c r="C363" s="175"/>
      <c r="D363" s="202" t="s">
        <v>1131</v>
      </c>
      <c r="G363" s="179"/>
      <c r="H363" s="196"/>
      <c r="I363" s="203"/>
      <c r="J363" s="204">
        <v>4</v>
      </c>
      <c r="K363" s="205"/>
      <c r="L363" s="206" t="s">
        <v>1418</v>
      </c>
      <c r="M363" s="205"/>
      <c r="N363" s="205"/>
      <c r="O363" s="238" t="s">
        <v>1131</v>
      </c>
      <c r="P363" s="179"/>
      <c r="Q363" s="179"/>
      <c r="R363" s="179"/>
      <c r="S363" s="179"/>
    </row>
    <row r="364" spans="1:19" x14ac:dyDescent="0.2">
      <c r="A364" s="185"/>
      <c r="B364" s="175"/>
      <c r="C364" s="175"/>
      <c r="D364" s="202" t="s">
        <v>1131</v>
      </c>
      <c r="G364" s="179"/>
      <c r="H364" s="196"/>
      <c r="I364" s="203"/>
      <c r="J364" s="204">
        <v>5</v>
      </c>
      <c r="K364" s="205"/>
      <c r="L364" s="206" t="s">
        <v>1282</v>
      </c>
      <c r="M364" s="205"/>
      <c r="N364" s="205"/>
      <c r="O364" s="238" t="s">
        <v>1131</v>
      </c>
      <c r="P364" s="179"/>
      <c r="Q364" s="179"/>
      <c r="R364" s="179"/>
      <c r="S364" s="179"/>
    </row>
    <row r="365" spans="1:19" x14ac:dyDescent="0.2">
      <c r="A365" s="185"/>
      <c r="B365" s="175"/>
      <c r="C365" s="175"/>
      <c r="D365" s="202" t="s">
        <v>1131</v>
      </c>
      <c r="G365" s="179"/>
      <c r="H365" s="196"/>
      <c r="I365" s="203"/>
      <c r="J365" s="204">
        <v>6</v>
      </c>
      <c r="K365" s="205"/>
      <c r="L365" s="206" t="s">
        <v>1419</v>
      </c>
      <c r="M365" s="205"/>
      <c r="N365" s="205"/>
      <c r="O365" s="238" t="s">
        <v>1131</v>
      </c>
      <c r="P365" s="179"/>
      <c r="Q365" s="179"/>
      <c r="R365" s="179"/>
      <c r="S365" s="179"/>
    </row>
    <row r="366" spans="1:19" x14ac:dyDescent="0.2">
      <c r="A366" s="185"/>
      <c r="B366" s="175"/>
      <c r="C366" s="175"/>
      <c r="D366" s="202" t="s">
        <v>1131</v>
      </c>
      <c r="G366" s="179"/>
      <c r="H366" s="196"/>
      <c r="I366" s="203"/>
      <c r="J366" s="204">
        <v>7</v>
      </c>
      <c r="K366" s="205"/>
      <c r="L366" s="206" t="s">
        <v>1420</v>
      </c>
      <c r="M366" s="205"/>
      <c r="N366" s="205"/>
      <c r="O366" s="238" t="s">
        <v>1131</v>
      </c>
      <c r="P366" s="179"/>
      <c r="Q366" s="179"/>
      <c r="R366" s="179"/>
      <c r="S366" s="179"/>
    </row>
    <row r="367" spans="1:19" x14ac:dyDescent="0.2">
      <c r="A367" s="185"/>
      <c r="B367" s="175"/>
      <c r="C367" s="175"/>
      <c r="D367" s="202" t="s">
        <v>1131</v>
      </c>
      <c r="G367" s="179"/>
      <c r="H367" s="196"/>
      <c r="I367" s="215"/>
      <c r="J367" s="210">
        <v>8</v>
      </c>
      <c r="K367" s="211"/>
      <c r="L367" s="212" t="s">
        <v>1412</v>
      </c>
      <c r="M367" s="211"/>
      <c r="N367" s="211"/>
      <c r="O367" s="257" t="s">
        <v>1131</v>
      </c>
      <c r="P367" s="179"/>
      <c r="Q367" s="179"/>
      <c r="R367" s="179"/>
      <c r="S367" s="179"/>
    </row>
    <row r="368" spans="1:19" x14ac:dyDescent="0.2">
      <c r="A368" s="185"/>
      <c r="B368" s="175"/>
      <c r="C368" s="175"/>
      <c r="D368" s="202"/>
      <c r="G368" s="258"/>
      <c r="H368" s="196"/>
      <c r="I368" s="210" t="s">
        <v>1128</v>
      </c>
      <c r="J368" s="203"/>
      <c r="K368" s="206" t="s">
        <v>1415</v>
      </c>
      <c r="L368" s="205"/>
      <c r="M368" s="205"/>
      <c r="N368" s="205"/>
      <c r="O368" s="238"/>
      <c r="P368" s="258"/>
      <c r="Q368" s="258"/>
      <c r="R368" s="258"/>
      <c r="S368" s="258"/>
    </row>
    <row r="369" spans="1:19" x14ac:dyDescent="0.2">
      <c r="A369" s="185"/>
      <c r="B369" s="175"/>
      <c r="C369" s="175"/>
      <c r="D369" s="202" t="s">
        <v>1131</v>
      </c>
      <c r="G369" s="179"/>
      <c r="H369" s="196"/>
      <c r="I369" s="203"/>
      <c r="J369" s="204">
        <v>9</v>
      </c>
      <c r="K369" s="205"/>
      <c r="L369" s="206" t="s">
        <v>1404</v>
      </c>
      <c r="M369" s="205"/>
      <c r="N369" s="205"/>
      <c r="O369" s="238" t="s">
        <v>1131</v>
      </c>
      <c r="P369" s="179"/>
      <c r="Q369" s="179"/>
      <c r="R369" s="179"/>
      <c r="S369" s="179"/>
    </row>
    <row r="370" spans="1:19" x14ac:dyDescent="0.2">
      <c r="A370" s="185"/>
      <c r="B370" s="175"/>
      <c r="C370" s="175"/>
      <c r="D370" s="202" t="s">
        <v>1131</v>
      </c>
      <c r="G370" s="179"/>
      <c r="H370" s="196"/>
      <c r="I370" s="203"/>
      <c r="J370" s="204">
        <v>10</v>
      </c>
      <c r="K370" s="205"/>
      <c r="L370" s="206" t="s">
        <v>1421</v>
      </c>
      <c r="M370" s="205"/>
      <c r="N370" s="205"/>
      <c r="O370" s="238" t="s">
        <v>1131</v>
      </c>
      <c r="P370" s="179"/>
      <c r="Q370" s="179"/>
      <c r="R370" s="179"/>
      <c r="S370" s="179"/>
    </row>
    <row r="371" spans="1:19" x14ac:dyDescent="0.2">
      <c r="A371" s="185"/>
      <c r="B371" s="175"/>
      <c r="C371" s="175"/>
      <c r="D371" s="202" t="s">
        <v>1131</v>
      </c>
      <c r="G371" s="179"/>
      <c r="H371" s="196"/>
      <c r="I371" s="203"/>
      <c r="J371" s="204">
        <v>11</v>
      </c>
      <c r="K371" s="205"/>
      <c r="L371" s="206" t="s">
        <v>1413</v>
      </c>
      <c r="M371" s="205"/>
      <c r="N371" s="205"/>
      <c r="O371" s="238" t="s">
        <v>1131</v>
      </c>
      <c r="P371" s="179"/>
      <c r="Q371" s="179"/>
      <c r="R371" s="179"/>
      <c r="S371" s="179"/>
    </row>
    <row r="372" spans="1:19" x14ac:dyDescent="0.2">
      <c r="A372" s="185"/>
      <c r="B372" s="175"/>
      <c r="C372" s="175"/>
      <c r="D372" s="202" t="s">
        <v>1131</v>
      </c>
      <c r="G372" s="179"/>
      <c r="H372" s="196"/>
      <c r="I372" s="203"/>
      <c r="J372" s="204">
        <v>12</v>
      </c>
      <c r="K372" s="205"/>
      <c r="L372" s="206" t="s">
        <v>1422</v>
      </c>
      <c r="M372" s="205"/>
      <c r="N372" s="205"/>
      <c r="O372" s="238" t="s">
        <v>1131</v>
      </c>
      <c r="P372" s="179"/>
      <c r="Q372" s="179"/>
      <c r="R372" s="179"/>
      <c r="S372" s="179"/>
    </row>
    <row r="373" spans="1:19" x14ac:dyDescent="0.2">
      <c r="A373" s="185"/>
      <c r="B373" s="175"/>
      <c r="C373" s="175"/>
      <c r="D373" s="202" t="s">
        <v>1131</v>
      </c>
      <c r="G373" s="179"/>
      <c r="H373" s="196"/>
      <c r="I373" s="203"/>
      <c r="J373" s="204">
        <v>13</v>
      </c>
      <c r="K373" s="205"/>
      <c r="L373" s="206" t="s">
        <v>1414</v>
      </c>
      <c r="M373" s="205"/>
      <c r="N373" s="205"/>
      <c r="O373" s="238" t="s">
        <v>1131</v>
      </c>
      <c r="P373" s="179"/>
      <c r="Q373" s="179"/>
      <c r="R373" s="179"/>
      <c r="S373" s="179"/>
    </row>
    <row r="374" spans="1:19" x14ac:dyDescent="0.2">
      <c r="A374" s="185"/>
      <c r="B374" s="175"/>
      <c r="C374" s="175"/>
      <c r="D374" s="202" t="s">
        <v>1131</v>
      </c>
      <c r="G374" s="179"/>
      <c r="H374" s="196"/>
      <c r="I374" s="215"/>
      <c r="J374" s="210">
        <v>14</v>
      </c>
      <c r="K374" s="211"/>
      <c r="L374" s="212" t="s">
        <v>1423</v>
      </c>
      <c r="M374" s="211"/>
      <c r="N374" s="211"/>
      <c r="O374" s="257" t="s">
        <v>1131</v>
      </c>
      <c r="P374" s="179"/>
      <c r="Q374" s="179"/>
      <c r="R374" s="179"/>
      <c r="S374" s="179"/>
    </row>
    <row r="375" spans="1:19" x14ac:dyDescent="0.2">
      <c r="A375" s="185"/>
      <c r="B375" s="175"/>
      <c r="C375" s="175"/>
      <c r="D375" s="202"/>
      <c r="G375" s="179"/>
      <c r="H375" s="196"/>
      <c r="I375" s="210" t="s">
        <v>1132</v>
      </c>
      <c r="J375" s="203"/>
      <c r="K375" s="206" t="s">
        <v>1424</v>
      </c>
      <c r="L375" s="205"/>
      <c r="M375" s="205"/>
      <c r="N375" s="205"/>
      <c r="O375" s="238"/>
      <c r="P375" s="179"/>
      <c r="Q375" s="179"/>
      <c r="R375" s="179"/>
      <c r="S375" s="179"/>
    </row>
    <row r="376" spans="1:19" x14ac:dyDescent="0.2">
      <c r="A376" s="185"/>
      <c r="B376" s="175"/>
      <c r="C376" s="175"/>
      <c r="D376" s="202" t="s">
        <v>1131</v>
      </c>
      <c r="G376" s="179"/>
      <c r="H376" s="196"/>
      <c r="I376" s="203"/>
      <c r="J376" s="204">
        <v>1</v>
      </c>
      <c r="K376" s="205"/>
      <c r="L376" s="206" t="s">
        <v>1229</v>
      </c>
      <c r="M376" s="205"/>
      <c r="N376" s="205"/>
      <c r="O376" s="238" t="s">
        <v>1131</v>
      </c>
      <c r="P376" s="179"/>
      <c r="Q376" s="179"/>
      <c r="R376" s="179"/>
      <c r="S376" s="179"/>
    </row>
    <row r="377" spans="1:19" x14ac:dyDescent="0.2">
      <c r="A377" s="185"/>
      <c r="B377" s="175"/>
      <c r="C377" s="175"/>
      <c r="D377" s="202" t="s">
        <v>1131</v>
      </c>
      <c r="G377" s="179"/>
      <c r="H377" s="196"/>
      <c r="I377" s="203"/>
      <c r="J377" s="204">
        <v>2</v>
      </c>
      <c r="K377" s="205"/>
      <c r="L377" s="206" t="s">
        <v>1416</v>
      </c>
      <c r="M377" s="205"/>
      <c r="N377" s="205"/>
      <c r="O377" s="238" t="s">
        <v>1131</v>
      </c>
      <c r="P377" s="179"/>
      <c r="Q377" s="179"/>
      <c r="R377" s="179"/>
      <c r="S377" s="179"/>
    </row>
    <row r="378" spans="1:19" x14ac:dyDescent="0.2">
      <c r="A378" s="185"/>
      <c r="B378" s="175"/>
      <c r="C378" s="175"/>
      <c r="D378" s="202" t="s">
        <v>1131</v>
      </c>
      <c r="G378" s="179"/>
      <c r="H378" s="196"/>
      <c r="I378" s="203"/>
      <c r="J378" s="204">
        <v>3</v>
      </c>
      <c r="K378" s="205"/>
      <c r="L378" s="206" t="s">
        <v>1417</v>
      </c>
      <c r="M378" s="205"/>
      <c r="N378" s="205"/>
      <c r="O378" s="238" t="s">
        <v>1131</v>
      </c>
      <c r="P378" s="179"/>
      <c r="Q378" s="179"/>
      <c r="R378" s="179"/>
      <c r="S378" s="179"/>
    </row>
    <row r="379" spans="1:19" x14ac:dyDescent="0.2">
      <c r="A379" s="185"/>
      <c r="B379" s="175"/>
      <c r="C379" s="175"/>
      <c r="D379" s="202" t="s">
        <v>1131</v>
      </c>
      <c r="G379" s="179"/>
      <c r="H379" s="196"/>
      <c r="I379" s="203"/>
      <c r="J379" s="204">
        <v>4</v>
      </c>
      <c r="K379" s="205"/>
      <c r="L379" s="206" t="s">
        <v>1418</v>
      </c>
      <c r="M379" s="205"/>
      <c r="N379" s="205"/>
      <c r="O379" s="238" t="s">
        <v>1131</v>
      </c>
      <c r="P379" s="179"/>
      <c r="Q379" s="179"/>
      <c r="R379" s="179"/>
      <c r="S379" s="179"/>
    </row>
    <row r="380" spans="1:19" x14ac:dyDescent="0.2">
      <c r="A380" s="185"/>
      <c r="B380" s="175"/>
      <c r="C380" s="175"/>
      <c r="D380" s="202" t="s">
        <v>1131</v>
      </c>
      <c r="G380" s="179"/>
      <c r="H380" s="196"/>
      <c r="I380" s="203"/>
      <c r="J380" s="204">
        <v>5</v>
      </c>
      <c r="K380" s="205"/>
      <c r="L380" s="206" t="s">
        <v>1282</v>
      </c>
      <c r="M380" s="205"/>
      <c r="N380" s="205"/>
      <c r="O380" s="238" t="s">
        <v>1131</v>
      </c>
      <c r="P380" s="179"/>
      <c r="Q380" s="179"/>
      <c r="R380" s="179"/>
      <c r="S380" s="179"/>
    </row>
    <row r="381" spans="1:19" x14ac:dyDescent="0.2">
      <c r="A381" s="185"/>
      <c r="B381" s="175"/>
      <c r="C381" s="175"/>
      <c r="D381" s="202" t="s">
        <v>1131</v>
      </c>
      <c r="G381" s="179"/>
      <c r="H381" s="196"/>
      <c r="I381" s="203"/>
      <c r="J381" s="204">
        <v>6</v>
      </c>
      <c r="K381" s="205"/>
      <c r="L381" s="206" t="s">
        <v>1419</v>
      </c>
      <c r="M381" s="205"/>
      <c r="N381" s="205"/>
      <c r="O381" s="238" t="s">
        <v>1131</v>
      </c>
      <c r="P381" s="179"/>
      <c r="Q381" s="179"/>
      <c r="R381" s="179"/>
      <c r="S381" s="179"/>
    </row>
    <row r="382" spans="1:19" x14ac:dyDescent="0.2">
      <c r="A382" s="185"/>
      <c r="B382" s="175"/>
      <c r="C382" s="175"/>
      <c r="D382" s="202" t="s">
        <v>1131</v>
      </c>
      <c r="G382" s="179"/>
      <c r="H382" s="196"/>
      <c r="I382" s="203"/>
      <c r="J382" s="204">
        <v>7</v>
      </c>
      <c r="K382" s="205"/>
      <c r="L382" s="206" t="s">
        <v>1425</v>
      </c>
      <c r="M382" s="205"/>
      <c r="N382" s="205"/>
      <c r="O382" s="238" t="s">
        <v>1131</v>
      </c>
      <c r="P382" s="179"/>
      <c r="Q382" s="179"/>
      <c r="R382" s="179"/>
      <c r="S382" s="179"/>
    </row>
    <row r="383" spans="1:19" x14ac:dyDescent="0.2">
      <c r="A383" s="185"/>
      <c r="B383" s="175"/>
      <c r="C383" s="175"/>
      <c r="D383" s="202" t="s">
        <v>1131</v>
      </c>
      <c r="G383" s="179"/>
      <c r="H383" s="196"/>
      <c r="I383" s="203"/>
      <c r="J383" s="204">
        <v>8</v>
      </c>
      <c r="K383" s="205"/>
      <c r="L383" s="206" t="s">
        <v>1412</v>
      </c>
      <c r="M383" s="205"/>
      <c r="N383" s="205"/>
      <c r="O383" s="238" t="s">
        <v>1131</v>
      </c>
      <c r="P383" s="179"/>
      <c r="Q383" s="179"/>
      <c r="R383" s="179"/>
      <c r="S383" s="179"/>
    </row>
    <row r="384" spans="1:19" ht="15.75" thickBot="1" x14ac:dyDescent="0.25">
      <c r="A384" s="185"/>
      <c r="B384" s="175"/>
      <c r="C384" s="175"/>
      <c r="D384" s="202" t="s">
        <v>1131</v>
      </c>
      <c r="G384" s="179"/>
      <c r="H384" s="249"/>
      <c r="I384" s="250"/>
      <c r="J384" s="251">
        <v>9</v>
      </c>
      <c r="K384" s="252"/>
      <c r="L384" s="253" t="s">
        <v>1404</v>
      </c>
      <c r="M384" s="252"/>
      <c r="N384" s="252"/>
      <c r="O384" s="307" t="s">
        <v>1131</v>
      </c>
      <c r="P384" s="179"/>
      <c r="Q384" s="179"/>
      <c r="R384" s="179"/>
      <c r="S384" s="179"/>
    </row>
    <row r="385" spans="1:19" x14ac:dyDescent="0.2">
      <c r="A385" s="185"/>
      <c r="B385" s="175"/>
      <c r="C385" s="175"/>
      <c r="D385" s="202"/>
      <c r="G385" s="205"/>
      <c r="H385" s="255"/>
      <c r="I385" s="203"/>
      <c r="J385" s="203"/>
      <c r="K385" s="205"/>
      <c r="L385" s="206"/>
      <c r="M385" s="205"/>
      <c r="N385" s="205"/>
      <c r="O385" s="313"/>
      <c r="P385" s="205"/>
      <c r="Q385" s="205"/>
      <c r="R385" s="205"/>
      <c r="S385" s="205"/>
    </row>
    <row r="386" spans="1:19" x14ac:dyDescent="0.2">
      <c r="A386" s="185"/>
      <c r="B386" s="175"/>
      <c r="C386" s="175"/>
      <c r="D386" s="202"/>
      <c r="G386" s="205"/>
      <c r="H386" s="255"/>
      <c r="I386" s="203"/>
      <c r="J386" s="203"/>
      <c r="K386" s="205"/>
      <c r="L386" s="206"/>
      <c r="M386" s="205"/>
      <c r="N386" s="205"/>
      <c r="O386" s="313"/>
      <c r="P386" s="205"/>
      <c r="Q386" s="205"/>
      <c r="R386" s="205"/>
      <c r="S386" s="205"/>
    </row>
    <row r="387" spans="1:19" x14ac:dyDescent="0.2">
      <c r="A387" s="185">
        <v>43</v>
      </c>
      <c r="B387" s="175" t="s">
        <v>1396</v>
      </c>
      <c r="C387" s="175" t="s">
        <v>1397</v>
      </c>
      <c r="D387" s="202"/>
      <c r="G387" s="179"/>
      <c r="H387" s="223">
        <v>43</v>
      </c>
      <c r="I387" s="225"/>
      <c r="J387" s="236"/>
      <c r="K387" s="293" t="s">
        <v>1397</v>
      </c>
      <c r="L387" s="236"/>
      <c r="M387" s="236"/>
      <c r="N387" s="236"/>
      <c r="O387" s="247"/>
      <c r="P387" s="179"/>
      <c r="Q387" s="194">
        <f>H387</f>
        <v>43</v>
      </c>
      <c r="R387" s="184" t="str">
        <f>CONCATENATE("II-",TEXT(Q387,"0000"))</f>
        <v>II-0043</v>
      </c>
      <c r="S387" s="195" t="str">
        <f>K387</f>
        <v>HORMIGON CEMENTO PORTLAND EXCLUIDA LA ARAMDURA</v>
      </c>
    </row>
    <row r="388" spans="1:19" x14ac:dyDescent="0.2">
      <c r="A388" s="185"/>
      <c r="B388" s="175"/>
      <c r="C388" s="175"/>
      <c r="D388" s="202"/>
      <c r="G388" s="258"/>
      <c r="H388" s="280"/>
      <c r="I388" s="210" t="s">
        <v>1132</v>
      </c>
      <c r="J388" s="203"/>
      <c r="K388" s="206" t="s">
        <v>1424</v>
      </c>
      <c r="L388" s="282"/>
      <c r="M388" s="282"/>
      <c r="N388" s="282"/>
      <c r="O388" s="269"/>
      <c r="P388" s="258"/>
      <c r="Q388" s="258"/>
      <c r="R388" s="258"/>
      <c r="S388" s="258"/>
    </row>
    <row r="389" spans="1:19" x14ac:dyDescent="0.2">
      <c r="A389" s="185"/>
      <c r="B389" s="175"/>
      <c r="C389" s="175"/>
      <c r="D389" s="202" t="s">
        <v>1131</v>
      </c>
      <c r="G389" s="179"/>
      <c r="H389" s="196"/>
      <c r="I389" s="203"/>
      <c r="J389" s="204">
        <v>10</v>
      </c>
      <c r="K389" s="205"/>
      <c r="L389" s="206" t="s">
        <v>1421</v>
      </c>
      <c r="M389" s="205"/>
      <c r="N389" s="205"/>
      <c r="O389" s="238" t="s">
        <v>1131</v>
      </c>
      <c r="P389" s="179"/>
      <c r="Q389" s="179"/>
      <c r="R389" s="179"/>
      <c r="S389" s="179"/>
    </row>
    <row r="390" spans="1:19" x14ac:dyDescent="0.2">
      <c r="A390" s="185"/>
      <c r="B390" s="175"/>
      <c r="C390" s="175"/>
      <c r="D390" s="202" t="s">
        <v>1131</v>
      </c>
      <c r="G390" s="179"/>
      <c r="H390" s="196"/>
      <c r="I390" s="203"/>
      <c r="J390" s="204">
        <v>11</v>
      </c>
      <c r="K390" s="205"/>
      <c r="L390" s="206" t="s">
        <v>1413</v>
      </c>
      <c r="M390" s="205"/>
      <c r="N390" s="205"/>
      <c r="O390" s="238" t="s">
        <v>1131</v>
      </c>
      <c r="P390" s="179"/>
      <c r="Q390" s="179"/>
      <c r="R390" s="179"/>
      <c r="S390" s="179"/>
    </row>
    <row r="391" spans="1:19" x14ac:dyDescent="0.2">
      <c r="A391" s="185"/>
      <c r="B391" s="175"/>
      <c r="C391" s="175"/>
      <c r="D391" s="202" t="s">
        <v>1131</v>
      </c>
      <c r="G391" s="179"/>
      <c r="H391" s="196"/>
      <c r="I391" s="203"/>
      <c r="J391" s="204">
        <v>12</v>
      </c>
      <c r="K391" s="205"/>
      <c r="L391" s="206" t="s">
        <v>1422</v>
      </c>
      <c r="M391" s="205"/>
      <c r="N391" s="205"/>
      <c r="O391" s="238" t="s">
        <v>1131</v>
      </c>
      <c r="P391" s="179"/>
      <c r="Q391" s="179"/>
      <c r="R391" s="179"/>
      <c r="S391" s="179"/>
    </row>
    <row r="392" spans="1:19" x14ac:dyDescent="0.2">
      <c r="A392" s="185"/>
      <c r="B392" s="175"/>
      <c r="C392" s="175"/>
      <c r="D392" s="202" t="s">
        <v>1131</v>
      </c>
      <c r="G392" s="179"/>
      <c r="H392" s="196"/>
      <c r="I392" s="203"/>
      <c r="J392" s="204">
        <v>13</v>
      </c>
      <c r="K392" s="205"/>
      <c r="L392" s="206" t="s">
        <v>1414</v>
      </c>
      <c r="M392" s="205"/>
      <c r="N392" s="205"/>
      <c r="O392" s="238" t="s">
        <v>1131</v>
      </c>
      <c r="P392" s="179"/>
      <c r="Q392" s="179"/>
      <c r="R392" s="179"/>
      <c r="S392" s="179"/>
    </row>
    <row r="393" spans="1:19" x14ac:dyDescent="0.2">
      <c r="A393" s="185"/>
      <c r="B393" s="175"/>
      <c r="C393" s="175"/>
      <c r="D393" s="202" t="s">
        <v>1131</v>
      </c>
      <c r="G393" s="179"/>
      <c r="H393" s="196"/>
      <c r="I393" s="215"/>
      <c r="J393" s="210">
        <v>14</v>
      </c>
      <c r="K393" s="211"/>
      <c r="L393" s="212" t="s">
        <v>1423</v>
      </c>
      <c r="M393" s="211"/>
      <c r="N393" s="211"/>
      <c r="O393" s="257" t="s">
        <v>1131</v>
      </c>
      <c r="P393" s="179"/>
      <c r="Q393" s="179"/>
      <c r="R393" s="179"/>
      <c r="S393" s="179"/>
    </row>
    <row r="394" spans="1:19" x14ac:dyDescent="0.2">
      <c r="A394" s="185"/>
      <c r="B394" s="175"/>
      <c r="C394" s="175"/>
      <c r="D394" s="202"/>
      <c r="G394" s="179"/>
      <c r="H394" s="196"/>
      <c r="I394" s="210" t="s">
        <v>1135</v>
      </c>
      <c r="J394" s="203"/>
      <c r="K394" s="206" t="s">
        <v>1426</v>
      </c>
      <c r="L394" s="205"/>
      <c r="M394" s="205"/>
      <c r="N394" s="205"/>
      <c r="O394" s="238"/>
      <c r="P394" s="179"/>
      <c r="Q394" s="179"/>
      <c r="R394" s="179"/>
      <c r="S394" s="179"/>
    </row>
    <row r="395" spans="1:19" x14ac:dyDescent="0.2">
      <c r="A395" s="185"/>
      <c r="B395" s="175"/>
      <c r="C395" s="175"/>
      <c r="D395" s="202" t="s">
        <v>1131</v>
      </c>
      <c r="G395" s="179"/>
      <c r="H395" s="196"/>
      <c r="I395" s="203"/>
      <c r="J395" s="204">
        <v>1</v>
      </c>
      <c r="K395" s="205"/>
      <c r="L395" s="206" t="s">
        <v>1417</v>
      </c>
      <c r="M395" s="205"/>
      <c r="N395" s="205"/>
      <c r="O395" s="238" t="s">
        <v>1131</v>
      </c>
      <c r="P395" s="179"/>
      <c r="Q395" s="179"/>
      <c r="R395" s="179"/>
      <c r="S395" s="179"/>
    </row>
    <row r="396" spans="1:19" x14ac:dyDescent="0.2">
      <c r="A396" s="185"/>
      <c r="B396" s="175"/>
      <c r="C396" s="175"/>
      <c r="D396" s="202" t="s">
        <v>1131</v>
      </c>
      <c r="G396" s="179"/>
      <c r="H396" s="196"/>
      <c r="I396" s="203"/>
      <c r="J396" s="204">
        <v>2</v>
      </c>
      <c r="K396" s="205"/>
      <c r="L396" s="206" t="s">
        <v>1418</v>
      </c>
      <c r="M396" s="205"/>
      <c r="N396" s="205"/>
      <c r="O396" s="238" t="s">
        <v>1131</v>
      </c>
      <c r="P396" s="179"/>
      <c r="Q396" s="179"/>
      <c r="R396" s="179"/>
      <c r="S396" s="179"/>
    </row>
    <row r="397" spans="1:19" x14ac:dyDescent="0.2">
      <c r="A397" s="185"/>
      <c r="B397" s="175"/>
      <c r="C397" s="175"/>
      <c r="D397" s="202" t="s">
        <v>1131</v>
      </c>
      <c r="G397" s="179"/>
      <c r="H397" s="196"/>
      <c r="I397" s="203"/>
      <c r="J397" s="204">
        <v>3</v>
      </c>
      <c r="K397" s="205"/>
      <c r="L397" s="206" t="s">
        <v>1282</v>
      </c>
      <c r="M397" s="205"/>
      <c r="N397" s="205"/>
      <c r="O397" s="238" t="s">
        <v>1131</v>
      </c>
      <c r="P397" s="179"/>
      <c r="Q397" s="179"/>
      <c r="R397" s="179"/>
      <c r="S397" s="179"/>
    </row>
    <row r="398" spans="1:19" x14ac:dyDescent="0.2">
      <c r="A398" s="185"/>
      <c r="B398" s="175"/>
      <c r="C398" s="175"/>
      <c r="D398" s="202" t="s">
        <v>1131</v>
      </c>
      <c r="G398" s="179"/>
      <c r="H398" s="196"/>
      <c r="I398" s="203"/>
      <c r="J398" s="204">
        <v>4</v>
      </c>
      <c r="K398" s="205"/>
      <c r="L398" s="206" t="s">
        <v>1419</v>
      </c>
      <c r="M398" s="205"/>
      <c r="N398" s="205"/>
      <c r="O398" s="238" t="s">
        <v>1131</v>
      </c>
      <c r="P398" s="179"/>
      <c r="Q398" s="179"/>
      <c r="R398" s="179"/>
      <c r="S398" s="179"/>
    </row>
    <row r="399" spans="1:19" x14ac:dyDescent="0.2">
      <c r="A399" s="185"/>
      <c r="B399" s="175"/>
      <c r="C399" s="175"/>
      <c r="D399" s="202" t="s">
        <v>1131</v>
      </c>
      <c r="G399" s="179"/>
      <c r="H399" s="196"/>
      <c r="I399" s="203"/>
      <c r="J399" s="204">
        <v>5</v>
      </c>
      <c r="K399" s="205"/>
      <c r="L399" s="206" t="s">
        <v>1425</v>
      </c>
      <c r="M399" s="205"/>
      <c r="N399" s="205"/>
      <c r="O399" s="238" t="s">
        <v>1131</v>
      </c>
      <c r="P399" s="179"/>
      <c r="Q399" s="179"/>
      <c r="R399" s="179"/>
      <c r="S399" s="179"/>
    </row>
    <row r="400" spans="1:19" x14ac:dyDescent="0.2">
      <c r="A400" s="185"/>
      <c r="B400" s="175"/>
      <c r="C400" s="175"/>
      <c r="D400" s="202" t="s">
        <v>1131</v>
      </c>
      <c r="G400" s="179"/>
      <c r="H400" s="196"/>
      <c r="I400" s="203"/>
      <c r="J400" s="204">
        <v>6</v>
      </c>
      <c r="K400" s="205"/>
      <c r="L400" s="206" t="s">
        <v>1404</v>
      </c>
      <c r="M400" s="205"/>
      <c r="N400" s="205"/>
      <c r="O400" s="238" t="s">
        <v>1131</v>
      </c>
      <c r="P400" s="179"/>
      <c r="Q400" s="179"/>
      <c r="R400" s="179"/>
      <c r="S400" s="179"/>
    </row>
    <row r="401" spans="1:19" x14ac:dyDescent="0.2">
      <c r="A401" s="185"/>
      <c r="B401" s="175"/>
      <c r="C401" s="175"/>
      <c r="D401" s="202" t="s">
        <v>1131</v>
      </c>
      <c r="G401" s="179"/>
      <c r="H401" s="196"/>
      <c r="I401" s="203"/>
      <c r="J401" s="204">
        <v>7</v>
      </c>
      <c r="K401" s="205"/>
      <c r="L401" s="206" t="s">
        <v>1421</v>
      </c>
      <c r="M401" s="205"/>
      <c r="N401" s="205"/>
      <c r="O401" s="238" t="s">
        <v>1131</v>
      </c>
      <c r="P401" s="179"/>
      <c r="Q401" s="179"/>
      <c r="R401" s="179"/>
      <c r="S401" s="179"/>
    </row>
    <row r="402" spans="1:19" x14ac:dyDescent="0.2">
      <c r="A402" s="185"/>
      <c r="B402" s="175"/>
      <c r="C402" s="175"/>
      <c r="D402" s="202" t="s">
        <v>1131</v>
      </c>
      <c r="G402" s="179"/>
      <c r="H402" s="196"/>
      <c r="I402" s="203"/>
      <c r="J402" s="204">
        <v>8</v>
      </c>
      <c r="K402" s="205"/>
      <c r="L402" s="206" t="s">
        <v>1413</v>
      </c>
      <c r="M402" s="205"/>
      <c r="N402" s="205"/>
      <c r="O402" s="238" t="s">
        <v>1131</v>
      </c>
      <c r="P402" s="179"/>
      <c r="Q402" s="179"/>
      <c r="R402" s="179"/>
      <c r="S402" s="179"/>
    </row>
    <row r="403" spans="1:19" x14ac:dyDescent="0.2">
      <c r="A403" s="185"/>
      <c r="B403" s="175"/>
      <c r="C403" s="175"/>
      <c r="D403" s="202" t="s">
        <v>1131</v>
      </c>
      <c r="G403" s="179"/>
      <c r="H403" s="196"/>
      <c r="I403" s="203"/>
      <c r="J403" s="204">
        <v>9</v>
      </c>
      <c r="K403" s="205"/>
      <c r="L403" s="206" t="s">
        <v>1422</v>
      </c>
      <c r="M403" s="205"/>
      <c r="N403" s="205"/>
      <c r="O403" s="238" t="s">
        <v>1131</v>
      </c>
      <c r="P403" s="179"/>
      <c r="Q403" s="179"/>
      <c r="R403" s="179"/>
      <c r="S403" s="179"/>
    </row>
    <row r="404" spans="1:19" ht="15.75" thickBot="1" x14ac:dyDescent="0.25">
      <c r="A404" s="185"/>
      <c r="B404" s="175"/>
      <c r="C404" s="175"/>
      <c r="D404" s="202" t="s">
        <v>1131</v>
      </c>
      <c r="G404" s="179"/>
      <c r="H404" s="216"/>
      <c r="I404" s="217"/>
      <c r="J404" s="218">
        <v>10</v>
      </c>
      <c r="K404" s="219"/>
      <c r="L404" s="220" t="s">
        <v>1423</v>
      </c>
      <c r="M404" s="219"/>
      <c r="N404" s="219"/>
      <c r="O404" s="304" t="s">
        <v>1131</v>
      </c>
      <c r="P404" s="179"/>
      <c r="Q404" s="179"/>
      <c r="R404" s="179"/>
      <c r="S404" s="179"/>
    </row>
    <row r="405" spans="1:19" ht="15.75" thickTop="1" x14ac:dyDescent="0.2">
      <c r="A405" s="185">
        <v>44</v>
      </c>
      <c r="B405" s="175" t="s">
        <v>1427</v>
      </c>
      <c r="C405" s="175" t="s">
        <v>1428</v>
      </c>
      <c r="D405" s="202"/>
      <c r="G405" s="179"/>
      <c r="H405" s="223">
        <v>44</v>
      </c>
      <c r="I405" s="225"/>
      <c r="J405" s="236"/>
      <c r="K405" s="293" t="s">
        <v>1428</v>
      </c>
      <c r="L405" s="236"/>
      <c r="M405" s="236"/>
      <c r="N405" s="236"/>
      <c r="O405" s="247"/>
      <c r="P405" s="179"/>
      <c r="Q405" s="194">
        <f>H405</f>
        <v>44</v>
      </c>
      <c r="R405" s="184" t="str">
        <f>CONCATENATE("II-",TEXT(Q405,"0000"))</f>
        <v>II-0044</v>
      </c>
      <c r="S405" s="195" t="str">
        <f>K405</f>
        <v>HORMIGON  ARS EXCLUIDA LA ARAMDURA</v>
      </c>
    </row>
    <row r="406" spans="1:19" x14ac:dyDescent="0.2">
      <c r="A406" s="185"/>
      <c r="B406" s="175"/>
      <c r="C406" s="175"/>
      <c r="D406" s="202"/>
      <c r="G406" s="179"/>
      <c r="H406" s="196"/>
      <c r="I406" s="210" t="s">
        <v>1020</v>
      </c>
      <c r="J406" s="203"/>
      <c r="K406" s="206" t="s">
        <v>1398</v>
      </c>
      <c r="L406" s="205"/>
      <c r="M406" s="205"/>
      <c r="N406" s="205"/>
      <c r="O406" s="238"/>
      <c r="P406" s="179"/>
      <c r="Q406" s="179"/>
      <c r="R406" s="179"/>
      <c r="S406" s="179"/>
    </row>
    <row r="407" spans="1:19" x14ac:dyDescent="0.2">
      <c r="A407" s="185"/>
      <c r="B407" s="175"/>
      <c r="C407" s="175"/>
      <c r="D407" s="202" t="s">
        <v>1131</v>
      </c>
      <c r="G407" s="179"/>
      <c r="H407" s="196"/>
      <c r="I407" s="203"/>
      <c r="J407" s="204">
        <v>1</v>
      </c>
      <c r="K407" s="205"/>
      <c r="L407" s="206" t="s">
        <v>1229</v>
      </c>
      <c r="M407" s="205"/>
      <c r="N407" s="205"/>
      <c r="O407" s="238" t="s">
        <v>1131</v>
      </c>
      <c r="P407" s="179"/>
      <c r="Q407" s="179"/>
      <c r="R407" s="179"/>
      <c r="S407" s="179"/>
    </row>
    <row r="408" spans="1:19" x14ac:dyDescent="0.2">
      <c r="A408" s="185"/>
      <c r="B408" s="175"/>
      <c r="C408" s="175"/>
      <c r="D408" s="202" t="s">
        <v>1131</v>
      </c>
      <c r="G408" s="179"/>
      <c r="H408" s="196"/>
      <c r="I408" s="203"/>
      <c r="J408" s="204">
        <v>2</v>
      </c>
      <c r="K408" s="205"/>
      <c r="L408" s="206" t="s">
        <v>1400</v>
      </c>
      <c r="M408" s="205"/>
      <c r="N408" s="205"/>
      <c r="O408" s="238" t="s">
        <v>1131</v>
      </c>
      <c r="P408" s="179"/>
      <c r="Q408" s="179"/>
      <c r="R408" s="179"/>
      <c r="S408" s="179"/>
    </row>
    <row r="409" spans="1:19" x14ac:dyDescent="0.2">
      <c r="A409" s="185"/>
      <c r="B409" s="175"/>
      <c r="C409" s="175"/>
      <c r="D409" s="202" t="s">
        <v>1131</v>
      </c>
      <c r="G409" s="179"/>
      <c r="H409" s="196"/>
      <c r="I409" s="203"/>
      <c r="J409" s="204">
        <v>3</v>
      </c>
      <c r="K409" s="205"/>
      <c r="L409" s="206" t="s">
        <v>1429</v>
      </c>
      <c r="M409" s="205"/>
      <c r="N409" s="205"/>
      <c r="O409" s="238" t="s">
        <v>1131</v>
      </c>
      <c r="P409" s="179"/>
      <c r="Q409" s="179"/>
      <c r="R409" s="179"/>
      <c r="S409" s="179"/>
    </row>
    <row r="410" spans="1:19" x14ac:dyDescent="0.2">
      <c r="A410" s="185"/>
      <c r="B410" s="175"/>
      <c r="C410" s="175"/>
      <c r="D410" s="202" t="s">
        <v>1131</v>
      </c>
      <c r="G410" s="179"/>
      <c r="H410" s="196"/>
      <c r="I410" s="203"/>
      <c r="J410" s="204">
        <v>4</v>
      </c>
      <c r="K410" s="205"/>
      <c r="L410" s="206" t="s">
        <v>1380</v>
      </c>
      <c r="M410" s="205"/>
      <c r="N410" s="205"/>
      <c r="O410" s="238" t="s">
        <v>1131</v>
      </c>
      <c r="P410" s="179"/>
      <c r="Q410" s="179"/>
      <c r="R410" s="179"/>
      <c r="S410" s="179"/>
    </row>
    <row r="411" spans="1:19" x14ac:dyDescent="0.2">
      <c r="A411" s="185"/>
      <c r="B411" s="175"/>
      <c r="C411" s="175"/>
      <c r="D411" s="202" t="s">
        <v>1131</v>
      </c>
      <c r="G411" s="179"/>
      <c r="H411" s="196"/>
      <c r="I411" s="215"/>
      <c r="J411" s="210">
        <v>5</v>
      </c>
      <c r="K411" s="211"/>
      <c r="L411" s="212" t="s">
        <v>1401</v>
      </c>
      <c r="M411" s="211"/>
      <c r="N411" s="211"/>
      <c r="O411" s="257" t="s">
        <v>1131</v>
      </c>
      <c r="P411" s="179"/>
      <c r="Q411" s="179"/>
      <c r="R411" s="179"/>
      <c r="S411" s="179"/>
    </row>
    <row r="412" spans="1:19" x14ac:dyDescent="0.2">
      <c r="A412" s="185"/>
      <c r="B412" s="175"/>
      <c r="C412" s="175"/>
      <c r="D412" s="202"/>
      <c r="G412" s="179"/>
      <c r="H412" s="196"/>
      <c r="I412" s="210" t="s">
        <v>1047</v>
      </c>
      <c r="J412" s="203"/>
      <c r="K412" s="206" t="s">
        <v>1402</v>
      </c>
      <c r="L412" s="205"/>
      <c r="M412" s="205"/>
      <c r="N412" s="205"/>
      <c r="O412" s="238"/>
      <c r="P412" s="179"/>
      <c r="Q412" s="179"/>
      <c r="R412" s="179"/>
      <c r="S412" s="179"/>
    </row>
    <row r="413" spans="1:19" x14ac:dyDescent="0.2">
      <c r="A413" s="185"/>
      <c r="B413" s="175"/>
      <c r="C413" s="175"/>
      <c r="D413" s="202" t="s">
        <v>1131</v>
      </c>
      <c r="G413" s="179"/>
      <c r="H413" s="196"/>
      <c r="I413" s="203"/>
      <c r="J413" s="204">
        <v>1</v>
      </c>
      <c r="K413" s="205"/>
      <c r="L413" s="206" t="s">
        <v>1229</v>
      </c>
      <c r="M413" s="205"/>
      <c r="N413" s="205"/>
      <c r="O413" s="238" t="s">
        <v>1131</v>
      </c>
      <c r="P413" s="179"/>
      <c r="Q413" s="179"/>
      <c r="R413" s="179"/>
      <c r="S413" s="179"/>
    </row>
    <row r="414" spans="1:19" x14ac:dyDescent="0.2">
      <c r="A414" s="185"/>
      <c r="B414" s="175"/>
      <c r="C414" s="175"/>
      <c r="D414" s="202" t="s">
        <v>1131</v>
      </c>
      <c r="G414" s="179"/>
      <c r="H414" s="196"/>
      <c r="I414" s="203"/>
      <c r="J414" s="204">
        <v>2</v>
      </c>
      <c r="K414" s="205"/>
      <c r="L414" s="206" t="s">
        <v>1403</v>
      </c>
      <c r="M414" s="205"/>
      <c r="N414" s="205"/>
      <c r="O414" s="238" t="s">
        <v>1131</v>
      </c>
      <c r="P414" s="179"/>
      <c r="Q414" s="179"/>
      <c r="R414" s="179"/>
      <c r="S414" s="179"/>
    </row>
    <row r="415" spans="1:19" x14ac:dyDescent="0.2">
      <c r="A415" s="185"/>
      <c r="B415" s="175"/>
      <c r="C415" s="175"/>
      <c r="D415" s="202" t="s">
        <v>1131</v>
      </c>
      <c r="G415" s="179"/>
      <c r="H415" s="196"/>
      <c r="I415" s="203"/>
      <c r="J415" s="204">
        <v>3</v>
      </c>
      <c r="K415" s="205"/>
      <c r="L415" s="206" t="s">
        <v>1404</v>
      </c>
      <c r="M415" s="205"/>
      <c r="N415" s="205"/>
      <c r="O415" s="238" t="s">
        <v>1131</v>
      </c>
      <c r="P415" s="179"/>
      <c r="Q415" s="179"/>
      <c r="R415" s="179"/>
      <c r="S415" s="179"/>
    </row>
    <row r="416" spans="1:19" x14ac:dyDescent="0.2">
      <c r="A416" s="185"/>
      <c r="B416" s="175"/>
      <c r="C416" s="175"/>
      <c r="D416" s="202" t="s">
        <v>1131</v>
      </c>
      <c r="G416" s="179"/>
      <c r="H416" s="196"/>
      <c r="I416" s="330"/>
      <c r="J416" s="204">
        <v>4</v>
      </c>
      <c r="K416" s="205"/>
      <c r="L416" s="206" t="s">
        <v>1405</v>
      </c>
      <c r="M416" s="205"/>
      <c r="N416" s="205"/>
      <c r="O416" s="238" t="s">
        <v>1131</v>
      </c>
      <c r="P416" s="179"/>
      <c r="Q416" s="179"/>
      <c r="R416" s="179"/>
      <c r="S416" s="179"/>
    </row>
    <row r="417" spans="1:19" x14ac:dyDescent="0.2">
      <c r="A417" s="185"/>
      <c r="B417" s="175"/>
      <c r="C417" s="175"/>
      <c r="D417" s="202" t="s">
        <v>1131</v>
      </c>
      <c r="G417" s="179"/>
      <c r="H417" s="196"/>
      <c r="I417" s="203"/>
      <c r="J417" s="204">
        <v>5</v>
      </c>
      <c r="K417" s="205"/>
      <c r="L417" s="206" t="s">
        <v>1406</v>
      </c>
      <c r="M417" s="205"/>
      <c r="N417" s="205"/>
      <c r="O417" s="238" t="s">
        <v>1131</v>
      </c>
      <c r="P417" s="179"/>
      <c r="Q417" s="179"/>
      <c r="R417" s="179"/>
      <c r="S417" s="179"/>
    </row>
    <row r="418" spans="1:19" x14ac:dyDescent="0.2">
      <c r="A418" s="185"/>
      <c r="B418" s="175"/>
      <c r="C418" s="175"/>
      <c r="D418" s="202" t="s">
        <v>1131</v>
      </c>
      <c r="G418" s="179"/>
      <c r="H418" s="196"/>
      <c r="I418" s="215"/>
      <c r="J418" s="210">
        <v>6</v>
      </c>
      <c r="K418" s="211"/>
      <c r="L418" s="212" t="s">
        <v>1401</v>
      </c>
      <c r="M418" s="211"/>
      <c r="N418" s="211"/>
      <c r="O418" s="257" t="s">
        <v>1131</v>
      </c>
      <c r="P418" s="179"/>
      <c r="Q418" s="179"/>
      <c r="R418" s="179"/>
      <c r="S418" s="179"/>
    </row>
    <row r="419" spans="1:19" x14ac:dyDescent="0.2">
      <c r="A419" s="185"/>
      <c r="B419" s="175"/>
      <c r="C419" s="175"/>
      <c r="D419" s="202"/>
      <c r="G419" s="179"/>
      <c r="H419" s="196"/>
      <c r="I419" s="210" t="s">
        <v>1057</v>
      </c>
      <c r="J419" s="203"/>
      <c r="K419" s="206" t="s">
        <v>1407</v>
      </c>
      <c r="L419" s="205"/>
      <c r="M419" s="205"/>
      <c r="N419" s="205"/>
      <c r="O419" s="238"/>
      <c r="P419" s="179"/>
      <c r="Q419" s="179"/>
      <c r="R419" s="179"/>
      <c r="S419" s="179"/>
    </row>
    <row r="420" spans="1:19" x14ac:dyDescent="0.2">
      <c r="A420" s="185"/>
      <c r="B420" s="175"/>
      <c r="C420" s="175"/>
      <c r="D420" s="202" t="s">
        <v>1131</v>
      </c>
      <c r="G420" s="179"/>
      <c r="H420" s="196"/>
      <c r="I420" s="203"/>
      <c r="J420" s="204">
        <v>1</v>
      </c>
      <c r="K420" s="205"/>
      <c r="L420" s="206" t="s">
        <v>1408</v>
      </c>
      <c r="M420" s="205"/>
      <c r="N420" s="205"/>
      <c r="O420" s="238" t="s">
        <v>1131</v>
      </c>
      <c r="P420" s="179"/>
      <c r="Q420" s="179"/>
      <c r="R420" s="179"/>
      <c r="S420" s="179"/>
    </row>
    <row r="421" spans="1:19" x14ac:dyDescent="0.2">
      <c r="A421" s="185"/>
      <c r="B421" s="175"/>
      <c r="C421" s="175"/>
      <c r="D421" s="202" t="s">
        <v>1131</v>
      </c>
      <c r="G421" s="179"/>
      <c r="H421" s="196"/>
      <c r="I421" s="203"/>
      <c r="J421" s="204">
        <v>2</v>
      </c>
      <c r="K421" s="205"/>
      <c r="L421" s="206" t="s">
        <v>1229</v>
      </c>
      <c r="M421" s="205"/>
      <c r="N421" s="205"/>
      <c r="O421" s="238" t="s">
        <v>1131</v>
      </c>
      <c r="P421" s="179"/>
      <c r="Q421" s="179"/>
      <c r="R421" s="179"/>
      <c r="S421" s="179"/>
    </row>
    <row r="422" spans="1:19" x14ac:dyDescent="0.2">
      <c r="A422" s="185"/>
      <c r="B422" s="175"/>
      <c r="C422" s="175"/>
      <c r="D422" s="202" t="s">
        <v>1131</v>
      </c>
      <c r="G422" s="179"/>
      <c r="H422" s="196"/>
      <c r="I422" s="203"/>
      <c r="J422" s="204">
        <v>3</v>
      </c>
      <c r="K422" s="205"/>
      <c r="L422" s="206" t="s">
        <v>1409</v>
      </c>
      <c r="M422" s="205"/>
      <c r="N422" s="205"/>
      <c r="O422" s="238" t="s">
        <v>1131</v>
      </c>
      <c r="P422" s="179"/>
      <c r="Q422" s="179"/>
      <c r="R422" s="179"/>
      <c r="S422" s="179"/>
    </row>
    <row r="423" spans="1:19" x14ac:dyDescent="0.2">
      <c r="A423" s="185"/>
      <c r="B423" s="175"/>
      <c r="C423" s="175"/>
      <c r="D423" s="202" t="s">
        <v>1131</v>
      </c>
      <c r="G423" s="179"/>
      <c r="H423" s="196"/>
      <c r="I423" s="203"/>
      <c r="J423" s="204">
        <v>4</v>
      </c>
      <c r="K423" s="205"/>
      <c r="L423" s="206" t="s">
        <v>1340</v>
      </c>
      <c r="M423" s="205"/>
      <c r="N423" s="205"/>
      <c r="O423" s="238" t="s">
        <v>1131</v>
      </c>
      <c r="P423" s="179"/>
      <c r="Q423" s="179"/>
      <c r="R423" s="179"/>
      <c r="S423" s="179"/>
    </row>
    <row r="424" spans="1:19" x14ac:dyDescent="0.2">
      <c r="A424" s="185"/>
      <c r="B424" s="175"/>
      <c r="C424" s="175"/>
      <c r="D424" s="202" t="s">
        <v>1131</v>
      </c>
      <c r="G424" s="179"/>
      <c r="H424" s="196"/>
      <c r="I424" s="215"/>
      <c r="J424" s="210">
        <v>5</v>
      </c>
      <c r="K424" s="211"/>
      <c r="L424" s="212" t="s">
        <v>1401</v>
      </c>
      <c r="M424" s="211"/>
      <c r="N424" s="211"/>
      <c r="O424" s="257" t="s">
        <v>1131</v>
      </c>
      <c r="P424" s="179"/>
      <c r="Q424" s="179"/>
      <c r="R424" s="179"/>
      <c r="S424" s="179"/>
    </row>
    <row r="425" spans="1:19" x14ac:dyDescent="0.2">
      <c r="A425" s="185"/>
      <c r="B425" s="175"/>
      <c r="C425" s="175"/>
      <c r="D425" s="202"/>
      <c r="G425" s="179"/>
      <c r="H425" s="196"/>
      <c r="I425" s="210" t="s">
        <v>1083</v>
      </c>
      <c r="J425" s="203"/>
      <c r="K425" s="206" t="s">
        <v>1410</v>
      </c>
      <c r="L425" s="205"/>
      <c r="M425" s="205"/>
      <c r="N425" s="205"/>
      <c r="O425" s="238"/>
      <c r="P425" s="179"/>
      <c r="Q425" s="179"/>
      <c r="R425" s="179"/>
      <c r="S425" s="179"/>
    </row>
    <row r="426" spans="1:19" x14ac:dyDescent="0.2">
      <c r="A426" s="185"/>
      <c r="B426" s="175"/>
      <c r="C426" s="175"/>
      <c r="D426" s="202" t="s">
        <v>1131</v>
      </c>
      <c r="G426" s="179"/>
      <c r="H426" s="196"/>
      <c r="I426" s="203"/>
      <c r="J426" s="204">
        <v>1</v>
      </c>
      <c r="K426" s="205"/>
      <c r="L426" s="206" t="s">
        <v>1408</v>
      </c>
      <c r="M426" s="205"/>
      <c r="N426" s="205"/>
      <c r="O426" s="238" t="s">
        <v>1131</v>
      </c>
      <c r="P426" s="179"/>
      <c r="Q426" s="179"/>
      <c r="R426" s="179"/>
      <c r="S426" s="179"/>
    </row>
    <row r="427" spans="1:19" x14ac:dyDescent="0.2">
      <c r="A427" s="185"/>
      <c r="B427" s="175"/>
      <c r="C427" s="175"/>
      <c r="D427" s="202" t="s">
        <v>1131</v>
      </c>
      <c r="G427" s="179"/>
      <c r="H427" s="196"/>
      <c r="I427" s="203"/>
      <c r="J427" s="204">
        <v>2</v>
      </c>
      <c r="K427" s="205"/>
      <c r="L427" s="206" t="s">
        <v>1229</v>
      </c>
      <c r="M427" s="205"/>
      <c r="N427" s="205"/>
      <c r="O427" s="238" t="s">
        <v>1131</v>
      </c>
      <c r="P427" s="179"/>
      <c r="Q427" s="179"/>
      <c r="R427" s="179"/>
      <c r="S427" s="179"/>
    </row>
    <row r="428" spans="1:19" x14ac:dyDescent="0.2">
      <c r="A428" s="185"/>
      <c r="B428" s="175"/>
      <c r="C428" s="175"/>
      <c r="D428" s="202" t="s">
        <v>1131</v>
      </c>
      <c r="G428" s="179"/>
      <c r="H428" s="196"/>
      <c r="I428" s="203"/>
      <c r="J428" s="204">
        <v>3</v>
      </c>
      <c r="K428" s="205"/>
      <c r="L428" s="206" t="s">
        <v>1411</v>
      </c>
      <c r="M428" s="205"/>
      <c r="N428" s="205"/>
      <c r="O428" s="238" t="s">
        <v>1131</v>
      </c>
      <c r="P428" s="179"/>
      <c r="Q428" s="179"/>
      <c r="R428" s="179"/>
      <c r="S428" s="179"/>
    </row>
    <row r="429" spans="1:19" x14ac:dyDescent="0.2">
      <c r="A429" s="185"/>
      <c r="B429" s="175"/>
      <c r="C429" s="175"/>
      <c r="D429" s="202" t="s">
        <v>1131</v>
      </c>
      <c r="G429" s="179"/>
      <c r="H429" s="196"/>
      <c r="I429" s="203"/>
      <c r="J429" s="204">
        <v>4</v>
      </c>
      <c r="K429" s="205"/>
      <c r="L429" s="206" t="s">
        <v>1409</v>
      </c>
      <c r="M429" s="205"/>
      <c r="N429" s="205"/>
      <c r="O429" s="238" t="s">
        <v>1131</v>
      </c>
      <c r="P429" s="179"/>
      <c r="Q429" s="179"/>
      <c r="R429" s="179"/>
      <c r="S429" s="179"/>
    </row>
    <row r="430" spans="1:19" x14ac:dyDescent="0.2">
      <c r="A430" s="185"/>
      <c r="B430" s="175"/>
      <c r="C430" s="175"/>
      <c r="D430" s="202" t="s">
        <v>1131</v>
      </c>
      <c r="G430" s="179"/>
      <c r="H430" s="196"/>
      <c r="I430" s="203"/>
      <c r="J430" s="204">
        <v>5</v>
      </c>
      <c r="K430" s="205"/>
      <c r="L430" s="206" t="s">
        <v>1340</v>
      </c>
      <c r="M430" s="205"/>
      <c r="N430" s="205"/>
      <c r="O430" s="238" t="s">
        <v>1131</v>
      </c>
      <c r="P430" s="179"/>
      <c r="Q430" s="179"/>
      <c r="R430" s="179"/>
      <c r="S430" s="179"/>
    </row>
    <row r="431" spans="1:19" x14ac:dyDescent="0.2">
      <c r="A431" s="185"/>
      <c r="B431" s="175"/>
      <c r="C431" s="175"/>
      <c r="D431" s="202" t="s">
        <v>1131</v>
      </c>
      <c r="G431" s="179"/>
      <c r="H431" s="196"/>
      <c r="I431" s="203"/>
      <c r="J431" s="204">
        <v>6</v>
      </c>
      <c r="K431" s="205"/>
      <c r="L431" s="206" t="s">
        <v>1412</v>
      </c>
      <c r="M431" s="205"/>
      <c r="N431" s="205"/>
      <c r="O431" s="238" t="s">
        <v>1131</v>
      </c>
      <c r="P431" s="179"/>
      <c r="Q431" s="179"/>
      <c r="R431" s="179"/>
      <c r="S431" s="179"/>
    </row>
    <row r="432" spans="1:19" ht="15.75" thickBot="1" x14ac:dyDescent="0.25">
      <c r="A432" s="185"/>
      <c r="B432" s="175"/>
      <c r="C432" s="175"/>
      <c r="D432" s="202" t="s">
        <v>1131</v>
      </c>
      <c r="G432" s="179"/>
      <c r="H432" s="249"/>
      <c r="I432" s="250"/>
      <c r="J432" s="251">
        <v>7</v>
      </c>
      <c r="K432" s="252"/>
      <c r="L432" s="253" t="s">
        <v>1413</v>
      </c>
      <c r="M432" s="252"/>
      <c r="N432" s="252"/>
      <c r="O432" s="307" t="s">
        <v>1131</v>
      </c>
      <c r="P432" s="179"/>
      <c r="Q432" s="179"/>
      <c r="R432" s="179"/>
      <c r="S432" s="179"/>
    </row>
    <row r="433" spans="1:19" x14ac:dyDescent="0.2">
      <c r="A433" s="185"/>
      <c r="B433" s="175"/>
      <c r="C433" s="175"/>
      <c r="D433" s="202"/>
      <c r="G433" s="205"/>
      <c r="H433" s="255"/>
      <c r="I433" s="203"/>
      <c r="J433" s="203"/>
      <c r="K433" s="205"/>
      <c r="L433" s="206"/>
      <c r="M433" s="205"/>
      <c r="N433" s="205"/>
      <c r="O433" s="313"/>
      <c r="P433" s="205"/>
      <c r="Q433" s="205"/>
      <c r="R433" s="205"/>
      <c r="S433" s="205"/>
    </row>
    <row r="434" spans="1:19" x14ac:dyDescent="0.2">
      <c r="A434" s="185"/>
      <c r="B434" s="175"/>
      <c r="C434" s="175"/>
      <c r="D434" s="202"/>
      <c r="G434" s="205"/>
      <c r="H434" s="255"/>
      <c r="I434" s="203"/>
      <c r="J434" s="203"/>
      <c r="K434" s="205"/>
      <c r="L434" s="206"/>
      <c r="M434" s="205"/>
      <c r="N434" s="205"/>
      <c r="O434" s="313"/>
      <c r="P434" s="205"/>
      <c r="Q434" s="205"/>
      <c r="R434" s="205"/>
      <c r="S434" s="205"/>
    </row>
    <row r="435" spans="1:19" x14ac:dyDescent="0.2">
      <c r="A435" s="185">
        <v>44</v>
      </c>
      <c r="B435" s="175" t="s">
        <v>1427</v>
      </c>
      <c r="C435" s="175" t="s">
        <v>1428</v>
      </c>
      <c r="D435" s="202"/>
      <c r="G435" s="179"/>
      <c r="H435" s="223">
        <v>44</v>
      </c>
      <c r="I435" s="225"/>
      <c r="J435" s="236"/>
      <c r="K435" s="293" t="s">
        <v>1428</v>
      </c>
      <c r="L435" s="236"/>
      <c r="M435" s="236"/>
      <c r="N435" s="236"/>
      <c r="O435" s="247"/>
      <c r="P435" s="179"/>
      <c r="Q435" s="194">
        <f>H435</f>
        <v>44</v>
      </c>
      <c r="R435" s="184" t="str">
        <f>CONCATENATE("II-",TEXT(Q435,"0000"))</f>
        <v>II-0044</v>
      </c>
      <c r="S435" s="195" t="str">
        <f>K435</f>
        <v>HORMIGON  ARS EXCLUIDA LA ARAMDURA</v>
      </c>
    </row>
    <row r="436" spans="1:19" x14ac:dyDescent="0.2">
      <c r="A436" s="185"/>
      <c r="B436" s="175"/>
      <c r="C436" s="175"/>
      <c r="D436" s="202"/>
      <c r="G436" s="205"/>
      <c r="H436" s="196"/>
      <c r="I436" s="210" t="s">
        <v>1083</v>
      </c>
      <c r="J436" s="203"/>
      <c r="K436" s="206" t="s">
        <v>1410</v>
      </c>
      <c r="L436" s="206"/>
      <c r="M436" s="205"/>
      <c r="N436" s="205"/>
      <c r="O436" s="313"/>
      <c r="P436" s="205"/>
      <c r="Q436" s="205"/>
      <c r="R436" s="205"/>
      <c r="S436" s="205"/>
    </row>
    <row r="437" spans="1:19" x14ac:dyDescent="0.2">
      <c r="A437" s="185"/>
      <c r="B437" s="175"/>
      <c r="C437" s="175"/>
      <c r="D437" s="202" t="s">
        <v>1131</v>
      </c>
      <c r="G437" s="179"/>
      <c r="H437" s="196"/>
      <c r="I437" s="203"/>
      <c r="J437" s="204">
        <v>8</v>
      </c>
      <c r="K437" s="205"/>
      <c r="L437" s="206" t="s">
        <v>1414</v>
      </c>
      <c r="M437" s="205"/>
      <c r="N437" s="205"/>
      <c r="O437" s="238" t="s">
        <v>1131</v>
      </c>
      <c r="P437" s="179"/>
      <c r="Q437" s="179"/>
      <c r="R437" s="179"/>
      <c r="S437" s="179"/>
    </row>
    <row r="438" spans="1:19" x14ac:dyDescent="0.2">
      <c r="A438" s="185"/>
      <c r="B438" s="175"/>
      <c r="C438" s="175"/>
      <c r="D438" s="202" t="s">
        <v>1131</v>
      </c>
      <c r="G438" s="179"/>
      <c r="H438" s="196"/>
      <c r="I438" s="215"/>
      <c r="J438" s="210">
        <v>9</v>
      </c>
      <c r="K438" s="211"/>
      <c r="L438" s="212" t="s">
        <v>1401</v>
      </c>
      <c r="M438" s="211"/>
      <c r="N438" s="211"/>
      <c r="O438" s="257" t="s">
        <v>1131</v>
      </c>
      <c r="P438" s="179"/>
      <c r="Q438" s="179"/>
      <c r="R438" s="179"/>
      <c r="S438" s="179"/>
    </row>
    <row r="439" spans="1:19" x14ac:dyDescent="0.2">
      <c r="A439" s="185"/>
      <c r="B439" s="175"/>
      <c r="C439" s="175"/>
      <c r="D439" s="202"/>
      <c r="G439" s="179"/>
      <c r="H439" s="196"/>
      <c r="I439" s="210" t="s">
        <v>1125</v>
      </c>
      <c r="J439" s="203"/>
      <c r="K439" s="206" t="s">
        <v>1415</v>
      </c>
      <c r="L439" s="205"/>
      <c r="M439" s="205"/>
      <c r="N439" s="205"/>
      <c r="O439" s="238"/>
      <c r="P439" s="179"/>
      <c r="Q439" s="179"/>
      <c r="R439" s="179"/>
      <c r="S439" s="179"/>
    </row>
    <row r="440" spans="1:19" x14ac:dyDescent="0.2">
      <c r="A440" s="185"/>
      <c r="B440" s="175"/>
      <c r="C440" s="175"/>
      <c r="D440" s="202" t="s">
        <v>1131</v>
      </c>
      <c r="G440" s="179"/>
      <c r="H440" s="196"/>
      <c r="I440" s="203"/>
      <c r="J440" s="204">
        <v>1</v>
      </c>
      <c r="K440" s="205"/>
      <c r="L440" s="206" t="s">
        <v>1229</v>
      </c>
      <c r="M440" s="205"/>
      <c r="N440" s="205"/>
      <c r="O440" s="238" t="s">
        <v>1131</v>
      </c>
      <c r="P440" s="179"/>
      <c r="Q440" s="179"/>
      <c r="R440" s="179"/>
      <c r="S440" s="179"/>
    </row>
    <row r="441" spans="1:19" x14ac:dyDescent="0.2">
      <c r="A441" s="185"/>
      <c r="B441" s="175"/>
      <c r="C441" s="175"/>
      <c r="D441" s="202" t="s">
        <v>1131</v>
      </c>
      <c r="G441" s="179"/>
      <c r="H441" s="196"/>
      <c r="I441" s="203"/>
      <c r="J441" s="204">
        <v>2</v>
      </c>
      <c r="K441" s="205"/>
      <c r="L441" s="206" t="s">
        <v>1416</v>
      </c>
      <c r="M441" s="205"/>
      <c r="N441" s="205"/>
      <c r="O441" s="238" t="s">
        <v>1131</v>
      </c>
      <c r="P441" s="179"/>
      <c r="Q441" s="179"/>
      <c r="R441" s="179"/>
      <c r="S441" s="179"/>
    </row>
    <row r="442" spans="1:19" x14ac:dyDescent="0.2">
      <c r="A442" s="185"/>
      <c r="B442" s="175"/>
      <c r="C442" s="175"/>
      <c r="D442" s="202" t="s">
        <v>1131</v>
      </c>
      <c r="G442" s="179"/>
      <c r="H442" s="196"/>
      <c r="I442" s="203"/>
      <c r="J442" s="204">
        <v>3</v>
      </c>
      <c r="K442" s="205"/>
      <c r="L442" s="206" t="s">
        <v>1417</v>
      </c>
      <c r="M442" s="205"/>
      <c r="N442" s="205"/>
      <c r="O442" s="238" t="s">
        <v>1131</v>
      </c>
      <c r="P442" s="179"/>
      <c r="Q442" s="179"/>
      <c r="R442" s="179"/>
      <c r="S442" s="179"/>
    </row>
    <row r="443" spans="1:19" x14ac:dyDescent="0.2">
      <c r="A443" s="185"/>
      <c r="B443" s="175"/>
      <c r="C443" s="175"/>
      <c r="D443" s="202" t="s">
        <v>1131</v>
      </c>
      <c r="G443" s="179"/>
      <c r="H443" s="196"/>
      <c r="I443" s="203"/>
      <c r="J443" s="204">
        <v>4</v>
      </c>
      <c r="K443" s="205"/>
      <c r="L443" s="206" t="s">
        <v>1418</v>
      </c>
      <c r="M443" s="205"/>
      <c r="N443" s="205"/>
      <c r="O443" s="238" t="s">
        <v>1131</v>
      </c>
      <c r="P443" s="179"/>
      <c r="Q443" s="179"/>
      <c r="R443" s="179"/>
      <c r="S443" s="179"/>
    </row>
    <row r="444" spans="1:19" x14ac:dyDescent="0.2">
      <c r="A444" s="185"/>
      <c r="B444" s="175"/>
      <c r="C444" s="175"/>
      <c r="D444" s="202" t="s">
        <v>1131</v>
      </c>
      <c r="G444" s="179"/>
      <c r="H444" s="196"/>
      <c r="I444" s="203"/>
      <c r="J444" s="204">
        <v>5</v>
      </c>
      <c r="K444" s="205"/>
      <c r="L444" s="206" t="s">
        <v>1282</v>
      </c>
      <c r="M444" s="205"/>
      <c r="N444" s="205"/>
      <c r="O444" s="238" t="s">
        <v>1131</v>
      </c>
      <c r="P444" s="179"/>
      <c r="Q444" s="179"/>
      <c r="R444" s="179"/>
      <c r="S444" s="179"/>
    </row>
    <row r="445" spans="1:19" x14ac:dyDescent="0.2">
      <c r="A445" s="185"/>
      <c r="B445" s="175"/>
      <c r="C445" s="175"/>
      <c r="D445" s="202" t="s">
        <v>1131</v>
      </c>
      <c r="G445" s="179"/>
      <c r="H445" s="196"/>
      <c r="I445" s="203"/>
      <c r="J445" s="204">
        <v>6</v>
      </c>
      <c r="K445" s="205"/>
      <c r="L445" s="206" t="s">
        <v>1419</v>
      </c>
      <c r="M445" s="205"/>
      <c r="N445" s="205"/>
      <c r="O445" s="238" t="s">
        <v>1131</v>
      </c>
      <c r="P445" s="179"/>
      <c r="Q445" s="179"/>
      <c r="R445" s="179"/>
      <c r="S445" s="179"/>
    </row>
    <row r="446" spans="1:19" x14ac:dyDescent="0.2">
      <c r="A446" s="185"/>
      <c r="B446" s="175"/>
      <c r="C446" s="175"/>
      <c r="D446" s="202" t="s">
        <v>1131</v>
      </c>
      <c r="G446" s="179"/>
      <c r="H446" s="196"/>
      <c r="I446" s="203"/>
      <c r="J446" s="204">
        <v>7</v>
      </c>
      <c r="K446" s="205"/>
      <c r="L446" s="206" t="s">
        <v>1420</v>
      </c>
      <c r="M446" s="205"/>
      <c r="N446" s="205"/>
      <c r="O446" s="238" t="s">
        <v>1131</v>
      </c>
      <c r="P446" s="179"/>
      <c r="Q446" s="179"/>
      <c r="R446" s="179"/>
      <c r="S446" s="179"/>
    </row>
    <row r="447" spans="1:19" x14ac:dyDescent="0.2">
      <c r="A447" s="185"/>
      <c r="B447" s="175"/>
      <c r="C447" s="175"/>
      <c r="D447" s="202" t="s">
        <v>1131</v>
      </c>
      <c r="G447" s="179"/>
      <c r="H447" s="196"/>
      <c r="I447" s="203"/>
      <c r="J447" s="204">
        <v>8</v>
      </c>
      <c r="K447" s="205"/>
      <c r="L447" s="206" t="s">
        <v>1412</v>
      </c>
      <c r="M447" s="205"/>
      <c r="N447" s="205"/>
      <c r="O447" s="238" t="s">
        <v>1131</v>
      </c>
      <c r="P447" s="179"/>
      <c r="Q447" s="179"/>
      <c r="R447" s="179"/>
      <c r="S447" s="179"/>
    </row>
    <row r="448" spans="1:19" x14ac:dyDescent="0.2">
      <c r="A448" s="185"/>
      <c r="B448" s="175"/>
      <c r="C448" s="175"/>
      <c r="D448" s="202" t="s">
        <v>1131</v>
      </c>
      <c r="G448" s="179"/>
      <c r="H448" s="196"/>
      <c r="I448" s="203"/>
      <c r="J448" s="204">
        <v>9</v>
      </c>
      <c r="K448" s="205"/>
      <c r="L448" s="206" t="s">
        <v>1404</v>
      </c>
      <c r="M448" s="205"/>
      <c r="N448" s="205"/>
      <c r="O448" s="238" t="s">
        <v>1131</v>
      </c>
      <c r="P448" s="179"/>
      <c r="Q448" s="179"/>
      <c r="R448" s="179"/>
      <c r="S448" s="179"/>
    </row>
    <row r="449" spans="1:19" x14ac:dyDescent="0.2">
      <c r="A449" s="185"/>
      <c r="B449" s="175"/>
      <c r="C449" s="175"/>
      <c r="D449" s="202" t="s">
        <v>1131</v>
      </c>
      <c r="G449" s="179"/>
      <c r="H449" s="196"/>
      <c r="I449" s="203"/>
      <c r="J449" s="204">
        <v>10</v>
      </c>
      <c r="K449" s="205"/>
      <c r="L449" s="206" t="s">
        <v>1421</v>
      </c>
      <c r="M449" s="205"/>
      <c r="N449" s="205"/>
      <c r="O449" s="238" t="s">
        <v>1131</v>
      </c>
      <c r="P449" s="179"/>
      <c r="Q449" s="179"/>
      <c r="R449" s="179"/>
      <c r="S449" s="179"/>
    </row>
    <row r="450" spans="1:19" x14ac:dyDescent="0.2">
      <c r="A450" s="185"/>
      <c r="B450" s="175"/>
      <c r="C450" s="175"/>
      <c r="D450" s="202" t="s">
        <v>1131</v>
      </c>
      <c r="G450" s="179"/>
      <c r="H450" s="196"/>
      <c r="I450" s="203"/>
      <c r="J450" s="204">
        <v>11</v>
      </c>
      <c r="K450" s="205"/>
      <c r="L450" s="206" t="s">
        <v>1413</v>
      </c>
      <c r="M450" s="205"/>
      <c r="N450" s="205"/>
      <c r="O450" s="238" t="s">
        <v>1131</v>
      </c>
      <c r="P450" s="179"/>
      <c r="Q450" s="179"/>
      <c r="R450" s="179"/>
      <c r="S450" s="179"/>
    </row>
    <row r="451" spans="1:19" x14ac:dyDescent="0.2">
      <c r="A451" s="185"/>
      <c r="B451" s="175"/>
      <c r="C451" s="175"/>
      <c r="D451" s="202" t="s">
        <v>1131</v>
      </c>
      <c r="G451" s="179"/>
      <c r="H451" s="196"/>
      <c r="I451" s="203"/>
      <c r="J451" s="204">
        <v>12</v>
      </c>
      <c r="K451" s="205"/>
      <c r="L451" s="206" t="s">
        <v>1422</v>
      </c>
      <c r="M451" s="205"/>
      <c r="N451" s="205"/>
      <c r="O451" s="238" t="s">
        <v>1131</v>
      </c>
      <c r="P451" s="179"/>
      <c r="Q451" s="179"/>
      <c r="R451" s="179"/>
      <c r="S451" s="179"/>
    </row>
    <row r="452" spans="1:19" x14ac:dyDescent="0.2">
      <c r="A452" s="185"/>
      <c r="B452" s="175"/>
      <c r="C452" s="175"/>
      <c r="D452" s="202" t="s">
        <v>1131</v>
      </c>
      <c r="G452" s="179"/>
      <c r="H452" s="196"/>
      <c r="I452" s="203"/>
      <c r="J452" s="204">
        <v>13</v>
      </c>
      <c r="K452" s="205"/>
      <c r="L452" s="206" t="s">
        <v>1414</v>
      </c>
      <c r="M452" s="205"/>
      <c r="N452" s="205"/>
      <c r="O452" s="238" t="s">
        <v>1131</v>
      </c>
      <c r="P452" s="179"/>
      <c r="Q452" s="179"/>
      <c r="R452" s="179"/>
      <c r="S452" s="179"/>
    </row>
    <row r="453" spans="1:19" x14ac:dyDescent="0.2">
      <c r="A453" s="185"/>
      <c r="B453" s="175"/>
      <c r="C453" s="175"/>
      <c r="D453" s="202" t="s">
        <v>1131</v>
      </c>
      <c r="G453" s="179"/>
      <c r="H453" s="196"/>
      <c r="I453" s="215"/>
      <c r="J453" s="210">
        <v>14</v>
      </c>
      <c r="K453" s="211"/>
      <c r="L453" s="212" t="s">
        <v>1423</v>
      </c>
      <c r="M453" s="211"/>
      <c r="N453" s="211"/>
      <c r="O453" s="257" t="s">
        <v>1131</v>
      </c>
      <c r="P453" s="179"/>
      <c r="Q453" s="179"/>
      <c r="R453" s="179"/>
      <c r="S453" s="179"/>
    </row>
    <row r="454" spans="1:19" x14ac:dyDescent="0.2">
      <c r="A454" s="185"/>
      <c r="B454" s="175"/>
      <c r="C454" s="175"/>
      <c r="D454" s="202"/>
      <c r="G454" s="179"/>
      <c r="H454" s="196"/>
      <c r="I454" s="210" t="s">
        <v>1128</v>
      </c>
      <c r="J454" s="203"/>
      <c r="K454" s="206" t="s">
        <v>1424</v>
      </c>
      <c r="L454" s="205"/>
      <c r="M454" s="205"/>
      <c r="N454" s="205"/>
      <c r="O454" s="238"/>
      <c r="P454" s="179"/>
      <c r="Q454" s="179"/>
      <c r="R454" s="179"/>
      <c r="S454" s="179"/>
    </row>
    <row r="455" spans="1:19" x14ac:dyDescent="0.2">
      <c r="A455" s="185"/>
      <c r="B455" s="175"/>
      <c r="C455" s="175"/>
      <c r="D455" s="202" t="s">
        <v>1131</v>
      </c>
      <c r="G455" s="179"/>
      <c r="H455" s="196"/>
      <c r="I455" s="203"/>
      <c r="J455" s="204">
        <v>1</v>
      </c>
      <c r="K455" s="205"/>
      <c r="L455" s="206" t="s">
        <v>1229</v>
      </c>
      <c r="M455" s="205"/>
      <c r="N455" s="205"/>
      <c r="O455" s="238" t="s">
        <v>1131</v>
      </c>
      <c r="P455" s="179"/>
      <c r="Q455" s="179"/>
      <c r="R455" s="179"/>
      <c r="S455" s="179"/>
    </row>
    <row r="456" spans="1:19" x14ac:dyDescent="0.2">
      <c r="A456" s="185"/>
      <c r="B456" s="175"/>
      <c r="C456" s="175"/>
      <c r="D456" s="202" t="s">
        <v>1131</v>
      </c>
      <c r="G456" s="179"/>
      <c r="H456" s="196"/>
      <c r="I456" s="203"/>
      <c r="J456" s="204">
        <v>2</v>
      </c>
      <c r="K456" s="205"/>
      <c r="L456" s="206" t="s">
        <v>1416</v>
      </c>
      <c r="M456" s="205"/>
      <c r="N456" s="205"/>
      <c r="O456" s="238" t="s">
        <v>1131</v>
      </c>
      <c r="P456" s="179"/>
      <c r="Q456" s="179"/>
      <c r="R456" s="179"/>
      <c r="S456" s="179"/>
    </row>
    <row r="457" spans="1:19" x14ac:dyDescent="0.2">
      <c r="A457" s="185"/>
      <c r="B457" s="175"/>
      <c r="C457" s="175"/>
      <c r="D457" s="202" t="s">
        <v>1131</v>
      </c>
      <c r="G457" s="179"/>
      <c r="H457" s="196"/>
      <c r="I457" s="203"/>
      <c r="J457" s="204">
        <v>3</v>
      </c>
      <c r="K457" s="205"/>
      <c r="L457" s="206" t="s">
        <v>1417</v>
      </c>
      <c r="M457" s="205"/>
      <c r="N457" s="205"/>
      <c r="O457" s="238" t="s">
        <v>1131</v>
      </c>
      <c r="P457" s="179"/>
      <c r="Q457" s="179"/>
      <c r="R457" s="179"/>
      <c r="S457" s="179"/>
    </row>
    <row r="458" spans="1:19" x14ac:dyDescent="0.2">
      <c r="A458" s="185"/>
      <c r="B458" s="175"/>
      <c r="C458" s="175"/>
      <c r="D458" s="202" t="s">
        <v>1131</v>
      </c>
      <c r="G458" s="179"/>
      <c r="H458" s="196"/>
      <c r="I458" s="203"/>
      <c r="J458" s="204">
        <v>4</v>
      </c>
      <c r="K458" s="205"/>
      <c r="L458" s="206" t="s">
        <v>1418</v>
      </c>
      <c r="M458" s="205"/>
      <c r="N458" s="205"/>
      <c r="O458" s="238" t="s">
        <v>1131</v>
      </c>
      <c r="P458" s="179"/>
      <c r="Q458" s="179"/>
      <c r="R458" s="179"/>
      <c r="S458" s="179"/>
    </row>
    <row r="459" spans="1:19" x14ac:dyDescent="0.2">
      <c r="A459" s="185"/>
      <c r="B459" s="175"/>
      <c r="C459" s="175"/>
      <c r="D459" s="202" t="s">
        <v>1131</v>
      </c>
      <c r="G459" s="179"/>
      <c r="H459" s="196"/>
      <c r="I459" s="203"/>
      <c r="J459" s="204">
        <v>5</v>
      </c>
      <c r="K459" s="205"/>
      <c r="L459" s="206" t="s">
        <v>1282</v>
      </c>
      <c r="M459" s="205"/>
      <c r="N459" s="205"/>
      <c r="O459" s="238" t="s">
        <v>1131</v>
      </c>
      <c r="P459" s="179"/>
      <c r="Q459" s="179"/>
      <c r="R459" s="179"/>
      <c r="S459" s="179"/>
    </row>
    <row r="460" spans="1:19" x14ac:dyDescent="0.2">
      <c r="A460" s="185"/>
      <c r="B460" s="175"/>
      <c r="C460" s="175"/>
      <c r="D460" s="202" t="s">
        <v>1131</v>
      </c>
      <c r="G460" s="179"/>
      <c r="H460" s="196"/>
      <c r="I460" s="203"/>
      <c r="J460" s="204">
        <v>6</v>
      </c>
      <c r="K460" s="205"/>
      <c r="L460" s="206" t="s">
        <v>1430</v>
      </c>
      <c r="M460" s="205"/>
      <c r="N460" s="205"/>
      <c r="O460" s="238" t="s">
        <v>1131</v>
      </c>
      <c r="P460" s="179"/>
      <c r="Q460" s="179"/>
      <c r="R460" s="179"/>
      <c r="S460" s="179"/>
    </row>
    <row r="461" spans="1:19" x14ac:dyDescent="0.2">
      <c r="A461" s="185"/>
      <c r="B461" s="175"/>
      <c r="C461" s="175"/>
      <c r="D461" s="202" t="s">
        <v>1131</v>
      </c>
      <c r="G461" s="179"/>
      <c r="H461" s="196"/>
      <c r="I461" s="203"/>
      <c r="J461" s="204">
        <v>7</v>
      </c>
      <c r="K461" s="205"/>
      <c r="L461" s="206" t="s">
        <v>1419</v>
      </c>
      <c r="M461" s="205"/>
      <c r="N461" s="205"/>
      <c r="O461" s="238" t="s">
        <v>1131</v>
      </c>
      <c r="P461" s="258"/>
      <c r="Q461" s="258"/>
      <c r="R461" s="258"/>
      <c r="S461" s="258"/>
    </row>
    <row r="462" spans="1:19" x14ac:dyDescent="0.2">
      <c r="A462" s="185"/>
      <c r="B462" s="175"/>
      <c r="C462" s="175"/>
      <c r="D462" s="202" t="s">
        <v>1131</v>
      </c>
      <c r="G462" s="179"/>
      <c r="H462" s="196"/>
      <c r="I462" s="203"/>
      <c r="J462" s="204">
        <v>8</v>
      </c>
      <c r="K462" s="205"/>
      <c r="L462" s="206" t="s">
        <v>1420</v>
      </c>
      <c r="M462" s="205"/>
      <c r="N462" s="205"/>
      <c r="O462" s="238" t="s">
        <v>1131</v>
      </c>
      <c r="P462" s="179"/>
      <c r="Q462" s="179"/>
      <c r="R462" s="179"/>
      <c r="S462" s="179"/>
    </row>
    <row r="463" spans="1:19" x14ac:dyDescent="0.2">
      <c r="A463" s="185"/>
      <c r="B463" s="175"/>
      <c r="C463" s="175"/>
      <c r="D463" s="202" t="s">
        <v>1131</v>
      </c>
      <c r="G463" s="179"/>
      <c r="H463" s="196"/>
      <c r="I463" s="203"/>
      <c r="J463" s="204">
        <v>9</v>
      </c>
      <c r="K463" s="205"/>
      <c r="L463" s="206" t="s">
        <v>1412</v>
      </c>
      <c r="M463" s="205"/>
      <c r="N463" s="205"/>
      <c r="O463" s="238" t="s">
        <v>1131</v>
      </c>
      <c r="P463" s="179"/>
      <c r="Q463" s="179"/>
      <c r="R463" s="179"/>
      <c r="S463" s="179"/>
    </row>
    <row r="464" spans="1:19" x14ac:dyDescent="0.2">
      <c r="A464" s="185"/>
      <c r="B464" s="175"/>
      <c r="C464" s="175"/>
      <c r="D464" s="202" t="s">
        <v>1131</v>
      </c>
      <c r="G464" s="179"/>
      <c r="H464" s="196"/>
      <c r="I464" s="203"/>
      <c r="J464" s="204">
        <v>10</v>
      </c>
      <c r="K464" s="205"/>
      <c r="L464" s="206" t="s">
        <v>1404</v>
      </c>
      <c r="M464" s="205"/>
      <c r="N464" s="205"/>
      <c r="O464" s="238" t="s">
        <v>1131</v>
      </c>
      <c r="P464" s="179"/>
      <c r="Q464" s="179"/>
      <c r="R464" s="179"/>
      <c r="S464" s="179"/>
    </row>
    <row r="465" spans="1:19" x14ac:dyDescent="0.2">
      <c r="A465" s="185"/>
      <c r="B465" s="175"/>
      <c r="C465" s="175"/>
      <c r="D465" s="202" t="s">
        <v>1131</v>
      </c>
      <c r="G465" s="179"/>
      <c r="H465" s="196"/>
      <c r="I465" s="203"/>
      <c r="J465" s="204">
        <v>11</v>
      </c>
      <c r="K465" s="205"/>
      <c r="L465" s="206" t="s">
        <v>1421</v>
      </c>
      <c r="M465" s="205"/>
      <c r="N465" s="205"/>
      <c r="O465" s="238" t="s">
        <v>1131</v>
      </c>
      <c r="P465" s="179"/>
      <c r="Q465" s="179"/>
      <c r="R465" s="179"/>
      <c r="S465" s="179"/>
    </row>
    <row r="466" spans="1:19" x14ac:dyDescent="0.2">
      <c r="A466" s="185"/>
      <c r="B466" s="175"/>
      <c r="C466" s="175"/>
      <c r="D466" s="202" t="s">
        <v>1131</v>
      </c>
      <c r="G466" s="179"/>
      <c r="H466" s="196"/>
      <c r="I466" s="203"/>
      <c r="J466" s="204">
        <v>12</v>
      </c>
      <c r="K466" s="205"/>
      <c r="L466" s="206" t="s">
        <v>1413</v>
      </c>
      <c r="M466" s="205"/>
      <c r="N466" s="205"/>
      <c r="O466" s="238" t="s">
        <v>1131</v>
      </c>
      <c r="P466" s="179"/>
      <c r="Q466" s="179"/>
      <c r="R466" s="179"/>
      <c r="S466" s="179"/>
    </row>
    <row r="467" spans="1:19" x14ac:dyDescent="0.2">
      <c r="A467" s="185"/>
      <c r="B467" s="175"/>
      <c r="C467" s="175"/>
      <c r="D467" s="202" t="s">
        <v>1131</v>
      </c>
      <c r="G467" s="205"/>
      <c r="H467" s="196"/>
      <c r="I467" s="203"/>
      <c r="J467" s="204">
        <v>13</v>
      </c>
      <c r="K467" s="206"/>
      <c r="L467" s="206" t="s">
        <v>1422</v>
      </c>
      <c r="M467" s="205"/>
      <c r="N467" s="205"/>
      <c r="O467" s="238" t="s">
        <v>1131</v>
      </c>
      <c r="P467" s="205"/>
      <c r="Q467" s="205"/>
      <c r="R467" s="205"/>
      <c r="S467" s="205"/>
    </row>
    <row r="468" spans="1:19" x14ac:dyDescent="0.2">
      <c r="A468" s="185"/>
      <c r="B468" s="175"/>
      <c r="C468" s="175"/>
      <c r="D468" s="202" t="s">
        <v>1131</v>
      </c>
      <c r="G468" s="179"/>
      <c r="H468" s="196"/>
      <c r="I468" s="203"/>
      <c r="J468" s="204">
        <v>14</v>
      </c>
      <c r="K468" s="205"/>
      <c r="L468" s="206" t="s">
        <v>1414</v>
      </c>
      <c r="M468" s="205"/>
      <c r="N468" s="205"/>
      <c r="O468" s="238" t="s">
        <v>1131</v>
      </c>
      <c r="P468" s="179"/>
      <c r="Q468" s="179"/>
      <c r="R468" s="179"/>
      <c r="S468" s="179"/>
    </row>
    <row r="469" spans="1:19" x14ac:dyDescent="0.2">
      <c r="A469" s="185"/>
      <c r="B469" s="175"/>
      <c r="C469" s="175"/>
      <c r="D469" s="202" t="s">
        <v>1131</v>
      </c>
      <c r="G469" s="179"/>
      <c r="H469" s="196"/>
      <c r="I469" s="203"/>
      <c r="J469" s="204">
        <v>15</v>
      </c>
      <c r="K469" s="205"/>
      <c r="L469" s="206" t="s">
        <v>1406</v>
      </c>
      <c r="M469" s="205"/>
      <c r="N469" s="205"/>
      <c r="O469" s="238" t="s">
        <v>1131</v>
      </c>
      <c r="P469" s="179"/>
      <c r="Q469" s="179"/>
      <c r="R469" s="179"/>
      <c r="S469" s="179"/>
    </row>
    <row r="470" spans="1:19" x14ac:dyDescent="0.2">
      <c r="A470" s="185"/>
      <c r="B470" s="175"/>
      <c r="C470" s="175"/>
      <c r="D470" s="202" t="s">
        <v>1131</v>
      </c>
      <c r="G470" s="179"/>
      <c r="H470" s="196"/>
      <c r="I470" s="203"/>
      <c r="J470" s="204">
        <v>16</v>
      </c>
      <c r="K470" s="205"/>
      <c r="L470" s="206" t="s">
        <v>1423</v>
      </c>
      <c r="M470" s="205"/>
      <c r="N470" s="205"/>
      <c r="O470" s="238" t="s">
        <v>1131</v>
      </c>
      <c r="P470" s="179"/>
      <c r="Q470" s="179"/>
      <c r="R470" s="179"/>
      <c r="S470" s="179"/>
    </row>
    <row r="471" spans="1:19" x14ac:dyDescent="0.2">
      <c r="A471" s="185"/>
      <c r="B471" s="175"/>
      <c r="C471" s="175"/>
      <c r="D471" s="202"/>
      <c r="G471" s="179"/>
      <c r="H471" s="196"/>
      <c r="I471" s="197" t="s">
        <v>1132</v>
      </c>
      <c r="J471" s="198"/>
      <c r="K471" s="214" t="s">
        <v>1426</v>
      </c>
      <c r="L471" s="200"/>
      <c r="M471" s="200"/>
      <c r="N471" s="200"/>
      <c r="O471" s="248"/>
      <c r="P471" s="179"/>
      <c r="Q471" s="179"/>
      <c r="R471" s="179"/>
      <c r="S471" s="179"/>
    </row>
    <row r="472" spans="1:19" x14ac:dyDescent="0.2">
      <c r="A472" s="185"/>
      <c r="B472" s="175"/>
      <c r="C472" s="175"/>
      <c r="D472" s="202" t="s">
        <v>1131</v>
      </c>
      <c r="G472" s="179"/>
      <c r="H472" s="196"/>
      <c r="I472" s="203"/>
      <c r="J472" s="204">
        <v>1</v>
      </c>
      <c r="K472" s="205"/>
      <c r="L472" s="206" t="s">
        <v>1417</v>
      </c>
      <c r="M472" s="205"/>
      <c r="N472" s="205"/>
      <c r="O472" s="238" t="s">
        <v>1131</v>
      </c>
      <c r="P472" s="179"/>
      <c r="Q472" s="179"/>
      <c r="R472" s="179"/>
      <c r="S472" s="179"/>
    </row>
    <row r="473" spans="1:19" x14ac:dyDescent="0.2">
      <c r="A473" s="185"/>
      <c r="B473" s="175"/>
      <c r="C473" s="175"/>
      <c r="D473" s="202" t="s">
        <v>1131</v>
      </c>
      <c r="G473" s="179"/>
      <c r="H473" s="196"/>
      <c r="I473" s="203"/>
      <c r="J473" s="204">
        <v>2</v>
      </c>
      <c r="K473" s="205"/>
      <c r="L473" s="206" t="s">
        <v>1418</v>
      </c>
      <c r="M473" s="205"/>
      <c r="N473" s="205"/>
      <c r="O473" s="238" t="s">
        <v>1131</v>
      </c>
      <c r="P473" s="179"/>
      <c r="Q473" s="179"/>
      <c r="R473" s="179"/>
      <c r="S473" s="179"/>
    </row>
    <row r="474" spans="1:19" x14ac:dyDescent="0.2">
      <c r="A474" s="185"/>
      <c r="B474" s="175"/>
      <c r="C474" s="175"/>
      <c r="D474" s="202" t="s">
        <v>1131</v>
      </c>
      <c r="G474" s="179"/>
      <c r="H474" s="196"/>
      <c r="I474" s="203"/>
      <c r="J474" s="204">
        <v>3</v>
      </c>
      <c r="K474" s="205"/>
      <c r="L474" s="206" t="s">
        <v>1282</v>
      </c>
      <c r="M474" s="205"/>
      <c r="N474" s="205"/>
      <c r="O474" s="238" t="s">
        <v>1131</v>
      </c>
      <c r="P474" s="179"/>
      <c r="Q474" s="179"/>
      <c r="R474" s="179"/>
      <c r="S474" s="179"/>
    </row>
    <row r="475" spans="1:19" x14ac:dyDescent="0.2">
      <c r="A475" s="185"/>
      <c r="B475" s="175"/>
      <c r="C475" s="175"/>
      <c r="D475" s="202" t="s">
        <v>1131</v>
      </c>
      <c r="G475" s="179"/>
      <c r="H475" s="196"/>
      <c r="I475" s="203"/>
      <c r="J475" s="204">
        <v>4</v>
      </c>
      <c r="K475" s="205"/>
      <c r="L475" s="206" t="s">
        <v>1419</v>
      </c>
      <c r="M475" s="205"/>
      <c r="N475" s="205"/>
      <c r="O475" s="238" t="s">
        <v>1131</v>
      </c>
      <c r="P475" s="179"/>
      <c r="Q475" s="179"/>
      <c r="R475" s="179"/>
      <c r="S475" s="179"/>
    </row>
    <row r="476" spans="1:19" x14ac:dyDescent="0.2">
      <c r="A476" s="185"/>
      <c r="B476" s="175"/>
      <c r="C476" s="175"/>
      <c r="D476" s="202" t="s">
        <v>1131</v>
      </c>
      <c r="G476" s="179"/>
      <c r="H476" s="196"/>
      <c r="I476" s="203"/>
      <c r="J476" s="204">
        <v>5</v>
      </c>
      <c r="K476" s="205"/>
      <c r="L476" s="206" t="s">
        <v>1420</v>
      </c>
      <c r="M476" s="205"/>
      <c r="N476" s="205"/>
      <c r="O476" s="238" t="s">
        <v>1131</v>
      </c>
      <c r="P476" s="179"/>
      <c r="Q476" s="179"/>
      <c r="R476" s="179"/>
      <c r="S476" s="179"/>
    </row>
    <row r="477" spans="1:19" x14ac:dyDescent="0.2">
      <c r="A477" s="185"/>
      <c r="B477" s="175"/>
      <c r="C477" s="175"/>
      <c r="D477" s="202" t="s">
        <v>1131</v>
      </c>
      <c r="G477" s="179"/>
      <c r="H477" s="196"/>
      <c r="I477" s="203"/>
      <c r="J477" s="204">
        <v>6</v>
      </c>
      <c r="K477" s="205"/>
      <c r="L477" s="206" t="s">
        <v>1404</v>
      </c>
      <c r="M477" s="205"/>
      <c r="N477" s="205"/>
      <c r="O477" s="238" t="s">
        <v>1131</v>
      </c>
      <c r="P477" s="179"/>
      <c r="Q477" s="179"/>
      <c r="R477" s="179"/>
      <c r="S477" s="179"/>
    </row>
    <row r="478" spans="1:19" x14ac:dyDescent="0.2">
      <c r="A478" s="185"/>
      <c r="B478" s="175"/>
      <c r="C478" s="175"/>
      <c r="D478" s="202" t="s">
        <v>1131</v>
      </c>
      <c r="G478" s="179"/>
      <c r="H478" s="196"/>
      <c r="I478" s="203"/>
      <c r="J478" s="204">
        <v>7</v>
      </c>
      <c r="K478" s="205"/>
      <c r="L478" s="206" t="s">
        <v>1421</v>
      </c>
      <c r="M478" s="205"/>
      <c r="N478" s="205"/>
      <c r="O478" s="238" t="s">
        <v>1131</v>
      </c>
      <c r="P478" s="179"/>
      <c r="Q478" s="179"/>
      <c r="R478" s="179"/>
      <c r="S478" s="179"/>
    </row>
    <row r="479" spans="1:19" x14ac:dyDescent="0.2">
      <c r="A479" s="185"/>
      <c r="B479" s="175"/>
      <c r="C479" s="175"/>
      <c r="D479" s="202" t="s">
        <v>1131</v>
      </c>
      <c r="G479" s="179"/>
      <c r="H479" s="196"/>
      <c r="I479" s="203"/>
      <c r="J479" s="204">
        <v>8</v>
      </c>
      <c r="K479" s="205"/>
      <c r="L479" s="206" t="s">
        <v>1413</v>
      </c>
      <c r="M479" s="205"/>
      <c r="N479" s="205"/>
      <c r="O479" s="238" t="s">
        <v>1131</v>
      </c>
      <c r="P479" s="179"/>
      <c r="Q479" s="179"/>
      <c r="R479" s="179"/>
      <c r="S479" s="179"/>
    </row>
    <row r="480" spans="1:19" x14ac:dyDescent="0.2">
      <c r="A480" s="185"/>
      <c r="B480" s="175"/>
      <c r="C480" s="175"/>
      <c r="D480" s="202" t="s">
        <v>1131</v>
      </c>
      <c r="G480" s="179"/>
      <c r="H480" s="196"/>
      <c r="I480" s="203"/>
      <c r="J480" s="204">
        <v>9</v>
      </c>
      <c r="K480" s="205"/>
      <c r="L480" s="206" t="s">
        <v>1422</v>
      </c>
      <c r="M480" s="205"/>
      <c r="N480" s="205"/>
      <c r="O480" s="238" t="s">
        <v>1131</v>
      </c>
      <c r="P480" s="179"/>
      <c r="Q480" s="179"/>
      <c r="R480" s="179"/>
      <c r="S480" s="179"/>
    </row>
    <row r="481" spans="1:19" ht="15.75" thickBot="1" x14ac:dyDescent="0.25">
      <c r="A481" s="185"/>
      <c r="B481" s="175"/>
      <c r="C481" s="175"/>
      <c r="D481" s="202" t="s">
        <v>1131</v>
      </c>
      <c r="G481" s="179"/>
      <c r="H481" s="249"/>
      <c r="I481" s="250"/>
      <c r="J481" s="251">
        <v>10</v>
      </c>
      <c r="K481" s="252"/>
      <c r="L481" s="253" t="s">
        <v>1423</v>
      </c>
      <c r="M481" s="252"/>
      <c r="N481" s="252"/>
      <c r="O481" s="307" t="s">
        <v>1131</v>
      </c>
      <c r="P481" s="179"/>
      <c r="Q481" s="179"/>
      <c r="R481" s="179"/>
      <c r="S481" s="179"/>
    </row>
    <row r="482" spans="1:19" x14ac:dyDescent="0.2">
      <c r="A482" s="185"/>
      <c r="B482" s="175"/>
      <c r="C482" s="175"/>
      <c r="D482" s="202"/>
      <c r="G482" s="205"/>
      <c r="H482" s="255"/>
      <c r="I482" s="203"/>
      <c r="J482" s="203"/>
      <c r="K482" s="205"/>
      <c r="L482" s="206"/>
      <c r="M482" s="205"/>
      <c r="N482" s="205"/>
      <c r="O482" s="313"/>
      <c r="P482" s="205"/>
      <c r="Q482" s="205"/>
      <c r="R482" s="205"/>
      <c r="S482" s="205"/>
    </row>
    <row r="483" spans="1:19" x14ac:dyDescent="0.2">
      <c r="A483" s="185">
        <v>45</v>
      </c>
      <c r="B483" s="175" t="s">
        <v>1431</v>
      </c>
      <c r="C483" s="175" t="s">
        <v>1432</v>
      </c>
      <c r="D483" s="202"/>
      <c r="G483" s="179"/>
      <c r="H483" s="223">
        <v>45</v>
      </c>
      <c r="I483" s="225"/>
      <c r="J483" s="236"/>
      <c r="K483" s="293" t="s">
        <v>1432</v>
      </c>
      <c r="L483" s="236"/>
      <c r="M483" s="236"/>
      <c r="N483" s="236"/>
      <c r="O483" s="247"/>
      <c r="P483" s="179"/>
      <c r="Q483" s="194">
        <f>H483</f>
        <v>45</v>
      </c>
      <c r="R483" s="184" t="str">
        <f>CONCATENATE("II-",TEXT(Q483,"0000"))</f>
        <v>II-0045</v>
      </c>
      <c r="S483" s="195" t="str">
        <f>K483</f>
        <v>HORMIGON  PUZOLANICO EXCLUIDA LA ARAMDURA</v>
      </c>
    </row>
    <row r="484" spans="1:19" x14ac:dyDescent="0.2">
      <c r="A484" s="185"/>
      <c r="B484" s="175"/>
      <c r="C484" s="175"/>
      <c r="D484" s="202"/>
      <c r="G484" s="179"/>
      <c r="H484" s="196"/>
      <c r="I484" s="197" t="s">
        <v>1020</v>
      </c>
      <c r="J484" s="198"/>
      <c r="K484" s="214" t="s">
        <v>1398</v>
      </c>
      <c r="L484" s="200"/>
      <c r="M484" s="200"/>
      <c r="N484" s="200"/>
      <c r="O484" s="248"/>
      <c r="P484" s="179"/>
      <c r="Q484" s="179"/>
      <c r="R484" s="179"/>
      <c r="S484" s="179"/>
    </row>
    <row r="485" spans="1:19" x14ac:dyDescent="0.2">
      <c r="A485" s="185"/>
      <c r="B485" s="175"/>
      <c r="C485" s="175"/>
      <c r="D485" s="202" t="s">
        <v>1131</v>
      </c>
      <c r="G485" s="179"/>
      <c r="H485" s="196"/>
      <c r="I485" s="203"/>
      <c r="J485" s="204">
        <v>1</v>
      </c>
      <c r="K485" s="205"/>
      <c r="L485" s="206" t="s">
        <v>1403</v>
      </c>
      <c r="M485" s="205"/>
      <c r="N485" s="205"/>
      <c r="O485" s="238" t="s">
        <v>1131</v>
      </c>
      <c r="P485" s="179"/>
      <c r="Q485" s="179"/>
      <c r="R485" s="179"/>
      <c r="S485" s="179"/>
    </row>
    <row r="486" spans="1:19" x14ac:dyDescent="0.2">
      <c r="A486" s="185"/>
      <c r="B486" s="175"/>
      <c r="C486" s="175"/>
      <c r="D486" s="202" t="s">
        <v>1131</v>
      </c>
      <c r="G486" s="179"/>
      <c r="H486" s="196"/>
      <c r="I486" s="203"/>
      <c r="J486" s="204">
        <v>2</v>
      </c>
      <c r="K486" s="205"/>
      <c r="L486" s="206" t="s">
        <v>1405</v>
      </c>
      <c r="M486" s="205"/>
      <c r="N486" s="205"/>
      <c r="O486" s="238" t="s">
        <v>1131</v>
      </c>
      <c r="P486" s="179"/>
      <c r="Q486" s="179"/>
      <c r="R486" s="179"/>
      <c r="S486" s="179"/>
    </row>
    <row r="487" spans="1:19" x14ac:dyDescent="0.2">
      <c r="A487" s="185"/>
      <c r="B487" s="175"/>
      <c r="C487" s="175"/>
      <c r="D487" s="202"/>
      <c r="G487" s="179"/>
      <c r="H487" s="196"/>
      <c r="I487" s="197" t="s">
        <v>1047</v>
      </c>
      <c r="J487" s="198"/>
      <c r="K487" s="214" t="s">
        <v>1402</v>
      </c>
      <c r="L487" s="200"/>
      <c r="M487" s="200"/>
      <c r="N487" s="200"/>
      <c r="O487" s="248"/>
      <c r="P487" s="179"/>
      <c r="Q487" s="179"/>
      <c r="R487" s="179"/>
      <c r="S487" s="179"/>
    </row>
    <row r="488" spans="1:19" x14ac:dyDescent="0.2">
      <c r="A488" s="185"/>
      <c r="B488" s="175"/>
      <c r="C488" s="175"/>
      <c r="D488" s="202" t="s">
        <v>1131</v>
      </c>
      <c r="G488" s="179"/>
      <c r="H488" s="196"/>
      <c r="I488" s="203"/>
      <c r="J488" s="204">
        <v>1</v>
      </c>
      <c r="K488" s="205"/>
      <c r="L488" s="206" t="s">
        <v>1403</v>
      </c>
      <c r="M488" s="205"/>
      <c r="N488" s="205"/>
      <c r="O488" s="238" t="s">
        <v>1131</v>
      </c>
      <c r="P488" s="179"/>
      <c r="Q488" s="179"/>
      <c r="R488" s="179"/>
      <c r="S488" s="179"/>
    </row>
    <row r="489" spans="1:19" x14ac:dyDescent="0.2">
      <c r="A489" s="185"/>
      <c r="B489" s="175"/>
      <c r="C489" s="175"/>
      <c r="D489" s="202" t="s">
        <v>1131</v>
      </c>
      <c r="G489" s="179"/>
      <c r="H489" s="196"/>
      <c r="I489" s="203"/>
      <c r="J489" s="204">
        <v>2</v>
      </c>
      <c r="K489" s="205"/>
      <c r="L489" s="206" t="s">
        <v>1405</v>
      </c>
      <c r="M489" s="205"/>
      <c r="N489" s="205"/>
      <c r="O489" s="238" t="s">
        <v>1131</v>
      </c>
      <c r="P489" s="179"/>
      <c r="Q489" s="179"/>
      <c r="R489" s="179"/>
      <c r="S489" s="179"/>
    </row>
    <row r="490" spans="1:19" x14ac:dyDescent="0.2">
      <c r="A490" s="185"/>
      <c r="B490" s="175"/>
      <c r="C490" s="175"/>
      <c r="D490" s="202" t="s">
        <v>1131</v>
      </c>
      <c r="G490" s="179"/>
      <c r="H490" s="196"/>
      <c r="I490" s="203"/>
      <c r="J490" s="204">
        <v>3</v>
      </c>
      <c r="K490" s="205"/>
      <c r="L490" s="206" t="s">
        <v>1414</v>
      </c>
      <c r="M490" s="205"/>
      <c r="N490" s="205"/>
      <c r="O490" s="238" t="s">
        <v>1131</v>
      </c>
      <c r="P490" s="179"/>
      <c r="Q490" s="179"/>
      <c r="R490" s="179"/>
      <c r="S490" s="179"/>
    </row>
    <row r="491" spans="1:19" x14ac:dyDescent="0.2">
      <c r="A491" s="185"/>
      <c r="B491" s="175"/>
      <c r="C491" s="175"/>
      <c r="D491" s="202"/>
      <c r="G491" s="179"/>
      <c r="H491" s="196"/>
      <c r="I491" s="197" t="s">
        <v>1057</v>
      </c>
      <c r="J491" s="198"/>
      <c r="K491" s="214" t="s">
        <v>1407</v>
      </c>
      <c r="L491" s="200"/>
      <c r="M491" s="200"/>
      <c r="N491" s="200"/>
      <c r="O491" s="248"/>
      <c r="P491" s="179"/>
      <c r="Q491" s="179"/>
      <c r="R491" s="179"/>
      <c r="S491" s="179"/>
    </row>
    <row r="492" spans="1:19" x14ac:dyDescent="0.2">
      <c r="A492" s="185"/>
      <c r="B492" s="175"/>
      <c r="C492" s="175"/>
      <c r="D492" s="202" t="s">
        <v>1131</v>
      </c>
      <c r="G492" s="179"/>
      <c r="H492" s="196"/>
      <c r="I492" s="203"/>
      <c r="J492" s="204">
        <v>1</v>
      </c>
      <c r="K492" s="205"/>
      <c r="L492" s="206" t="s">
        <v>1403</v>
      </c>
      <c r="M492" s="205"/>
      <c r="N492" s="205"/>
      <c r="O492" s="238" t="s">
        <v>1131</v>
      </c>
      <c r="P492" s="179"/>
      <c r="Q492" s="179"/>
      <c r="R492" s="179"/>
      <c r="S492" s="179"/>
    </row>
    <row r="493" spans="1:19" x14ac:dyDescent="0.2">
      <c r="A493" s="185"/>
      <c r="B493" s="175"/>
      <c r="C493" s="175"/>
      <c r="D493" s="202" t="s">
        <v>1131</v>
      </c>
      <c r="G493" s="179"/>
      <c r="H493" s="196"/>
      <c r="I493" s="203"/>
      <c r="J493" s="204">
        <v>2</v>
      </c>
      <c r="K493" s="205"/>
      <c r="L493" s="206" t="s">
        <v>1340</v>
      </c>
      <c r="M493" s="205"/>
      <c r="N493" s="205"/>
      <c r="O493" s="238" t="s">
        <v>1131</v>
      </c>
      <c r="P493" s="179"/>
      <c r="Q493" s="179"/>
      <c r="R493" s="179"/>
      <c r="S493" s="179"/>
    </row>
    <row r="494" spans="1:19" x14ac:dyDescent="0.2">
      <c r="A494" s="185"/>
      <c r="B494" s="175"/>
      <c r="C494" s="175"/>
      <c r="D494" s="202" t="s">
        <v>1131</v>
      </c>
      <c r="G494" s="179"/>
      <c r="H494" s="196"/>
      <c r="I494" s="203"/>
      <c r="J494" s="204">
        <v>3</v>
      </c>
      <c r="K494" s="205"/>
      <c r="L494" s="206" t="s">
        <v>1405</v>
      </c>
      <c r="M494" s="205"/>
      <c r="N494" s="205"/>
      <c r="O494" s="238" t="s">
        <v>1131</v>
      </c>
      <c r="P494" s="179"/>
      <c r="Q494" s="179"/>
      <c r="R494" s="179"/>
      <c r="S494" s="179"/>
    </row>
    <row r="495" spans="1:19" x14ac:dyDescent="0.2">
      <c r="A495" s="185"/>
      <c r="B495" s="175"/>
      <c r="C495" s="175"/>
      <c r="D495" s="202" t="s">
        <v>1131</v>
      </c>
      <c r="G495" s="179"/>
      <c r="H495" s="196"/>
      <c r="I495" s="203"/>
      <c r="J495" s="204">
        <v>4</v>
      </c>
      <c r="K495" s="205"/>
      <c r="L495" s="206" t="s">
        <v>1414</v>
      </c>
      <c r="M495" s="205"/>
      <c r="N495" s="205"/>
      <c r="O495" s="238" t="s">
        <v>1131</v>
      </c>
      <c r="P495" s="179"/>
      <c r="Q495" s="179"/>
      <c r="R495" s="179"/>
      <c r="S495" s="179"/>
    </row>
    <row r="496" spans="1:19" x14ac:dyDescent="0.2">
      <c r="A496" s="185"/>
      <c r="B496" s="175"/>
      <c r="C496" s="175"/>
      <c r="D496" s="202" t="s">
        <v>1131</v>
      </c>
      <c r="G496" s="179"/>
      <c r="H496" s="196"/>
      <c r="I496" s="203"/>
      <c r="J496" s="204">
        <v>5</v>
      </c>
      <c r="K496" s="205"/>
      <c r="L496" s="206" t="s">
        <v>1406</v>
      </c>
      <c r="M496" s="205"/>
      <c r="N496" s="205"/>
      <c r="O496" s="238" t="s">
        <v>1131</v>
      </c>
      <c r="P496" s="179"/>
      <c r="Q496" s="179"/>
      <c r="R496" s="179"/>
      <c r="S496" s="179"/>
    </row>
    <row r="497" spans="1:19" x14ac:dyDescent="0.2">
      <c r="A497" s="185"/>
      <c r="B497" s="175"/>
      <c r="C497" s="175"/>
      <c r="D497" s="202"/>
      <c r="G497" s="179"/>
      <c r="H497" s="196"/>
      <c r="I497" s="197" t="s">
        <v>1083</v>
      </c>
      <c r="J497" s="198"/>
      <c r="K497" s="214" t="s">
        <v>1410</v>
      </c>
      <c r="L497" s="200"/>
      <c r="M497" s="200"/>
      <c r="N497" s="200"/>
      <c r="O497" s="248"/>
      <c r="P497" s="179"/>
      <c r="Q497" s="179"/>
      <c r="R497" s="179"/>
      <c r="S497" s="179"/>
    </row>
    <row r="498" spans="1:19" x14ac:dyDescent="0.2">
      <c r="A498" s="185"/>
      <c r="B498" s="175"/>
      <c r="C498" s="175"/>
      <c r="D498" s="202" t="s">
        <v>1131</v>
      </c>
      <c r="G498" s="179"/>
      <c r="H498" s="196"/>
      <c r="I498" s="203"/>
      <c r="J498" s="204">
        <v>1</v>
      </c>
      <c r="K498" s="205"/>
      <c r="L498" s="206" t="s">
        <v>1408</v>
      </c>
      <c r="M498" s="205"/>
      <c r="N498" s="205"/>
      <c r="O498" s="238" t="s">
        <v>1131</v>
      </c>
      <c r="P498" s="179"/>
      <c r="Q498" s="179"/>
      <c r="R498" s="179"/>
      <c r="S498" s="179"/>
    </row>
    <row r="499" spans="1:19" x14ac:dyDescent="0.2">
      <c r="A499" s="185"/>
      <c r="B499" s="175"/>
      <c r="C499" s="175"/>
      <c r="D499" s="202" t="s">
        <v>1131</v>
      </c>
      <c r="G499" s="179"/>
      <c r="H499" s="196"/>
      <c r="I499" s="203"/>
      <c r="J499" s="204">
        <v>2</v>
      </c>
      <c r="K499" s="205"/>
      <c r="L499" s="206" t="s">
        <v>1229</v>
      </c>
      <c r="M499" s="205"/>
      <c r="N499" s="205"/>
      <c r="O499" s="238" t="s">
        <v>1131</v>
      </c>
      <c r="P499" s="179"/>
      <c r="Q499" s="179"/>
      <c r="R499" s="179"/>
      <c r="S499" s="179"/>
    </row>
    <row r="500" spans="1:19" x14ac:dyDescent="0.2">
      <c r="A500" s="185"/>
      <c r="B500" s="175"/>
      <c r="C500" s="175"/>
      <c r="D500" s="202" t="s">
        <v>1131</v>
      </c>
      <c r="G500" s="179"/>
      <c r="H500" s="196"/>
      <c r="I500" s="203"/>
      <c r="J500" s="204">
        <v>3</v>
      </c>
      <c r="K500" s="205"/>
      <c r="L500" s="206" t="s">
        <v>1403</v>
      </c>
      <c r="M500" s="205"/>
      <c r="N500" s="205"/>
      <c r="O500" s="238" t="s">
        <v>1131</v>
      </c>
      <c r="P500" s="179"/>
      <c r="Q500" s="179"/>
      <c r="R500" s="179"/>
      <c r="S500" s="179"/>
    </row>
    <row r="501" spans="1:19" x14ac:dyDescent="0.2">
      <c r="A501" s="185"/>
      <c r="B501" s="175"/>
      <c r="C501" s="175"/>
      <c r="D501" s="202" t="s">
        <v>1131</v>
      </c>
      <c r="G501" s="179"/>
      <c r="H501" s="196"/>
      <c r="I501" s="203"/>
      <c r="J501" s="204">
        <v>4</v>
      </c>
      <c r="K501" s="205"/>
      <c r="L501" s="206" t="s">
        <v>1340</v>
      </c>
      <c r="M501" s="205"/>
      <c r="N501" s="205"/>
      <c r="O501" s="238" t="s">
        <v>1131</v>
      </c>
      <c r="P501" s="179"/>
      <c r="Q501" s="179"/>
      <c r="R501" s="179"/>
      <c r="S501" s="179"/>
    </row>
    <row r="502" spans="1:19" x14ac:dyDescent="0.2">
      <c r="A502" s="185"/>
      <c r="B502" s="175"/>
      <c r="C502" s="175"/>
      <c r="D502" s="202" t="s">
        <v>1131</v>
      </c>
      <c r="G502" s="179"/>
      <c r="H502" s="196"/>
      <c r="I502" s="203"/>
      <c r="J502" s="204">
        <v>5</v>
      </c>
      <c r="K502" s="205"/>
      <c r="L502" s="206" t="s">
        <v>1405</v>
      </c>
      <c r="M502" s="205"/>
      <c r="N502" s="205"/>
      <c r="O502" s="238" t="s">
        <v>1131</v>
      </c>
      <c r="P502" s="179"/>
      <c r="Q502" s="179"/>
      <c r="R502" s="179"/>
      <c r="S502" s="179"/>
    </row>
    <row r="503" spans="1:19" x14ac:dyDescent="0.2">
      <c r="A503" s="185"/>
      <c r="B503" s="175"/>
      <c r="C503" s="175"/>
      <c r="D503" s="202" t="s">
        <v>1131</v>
      </c>
      <c r="G503" s="179"/>
      <c r="H503" s="196"/>
      <c r="I503" s="203"/>
      <c r="J503" s="204">
        <v>6</v>
      </c>
      <c r="K503" s="205"/>
      <c r="L503" s="206" t="s">
        <v>1414</v>
      </c>
      <c r="M503" s="205"/>
      <c r="N503" s="205"/>
      <c r="O503" s="238" t="s">
        <v>1131</v>
      </c>
      <c r="P503" s="179"/>
      <c r="Q503" s="179"/>
      <c r="R503" s="179"/>
      <c r="S503" s="179"/>
    </row>
    <row r="504" spans="1:19" x14ac:dyDescent="0.2">
      <c r="A504" s="185"/>
      <c r="B504" s="175"/>
      <c r="C504" s="175"/>
      <c r="D504" s="202" t="s">
        <v>1131</v>
      </c>
      <c r="G504" s="179"/>
      <c r="H504" s="196"/>
      <c r="I504" s="203"/>
      <c r="J504" s="204">
        <v>7</v>
      </c>
      <c r="K504" s="205"/>
      <c r="L504" s="206" t="s">
        <v>1406</v>
      </c>
      <c r="M504" s="205"/>
      <c r="N504" s="205"/>
      <c r="O504" s="238" t="s">
        <v>1131</v>
      </c>
      <c r="P504" s="179"/>
      <c r="Q504" s="179"/>
      <c r="R504" s="179"/>
      <c r="S504" s="179"/>
    </row>
    <row r="505" spans="1:19" x14ac:dyDescent="0.2">
      <c r="A505" s="185"/>
      <c r="B505" s="175"/>
      <c r="C505" s="175"/>
      <c r="D505" s="202"/>
      <c r="G505" s="179"/>
      <c r="H505" s="196"/>
      <c r="I505" s="197" t="s">
        <v>1125</v>
      </c>
      <c r="J505" s="198"/>
      <c r="K505" s="214" t="s">
        <v>1415</v>
      </c>
      <c r="L505" s="200"/>
      <c r="M505" s="200"/>
      <c r="N505" s="200"/>
      <c r="O505" s="248"/>
      <c r="P505" s="179"/>
      <c r="Q505" s="179"/>
      <c r="R505" s="179"/>
      <c r="S505" s="179"/>
    </row>
    <row r="506" spans="1:19" x14ac:dyDescent="0.2">
      <c r="A506" s="185"/>
      <c r="B506" s="175"/>
      <c r="C506" s="175"/>
      <c r="D506" s="202" t="s">
        <v>1131</v>
      </c>
      <c r="G506" s="179"/>
      <c r="H506" s="196"/>
      <c r="I506" s="203"/>
      <c r="J506" s="204">
        <v>1</v>
      </c>
      <c r="K506" s="205"/>
      <c r="L506" s="206" t="s">
        <v>1408</v>
      </c>
      <c r="M506" s="205"/>
      <c r="N506" s="205"/>
      <c r="O506" s="238" t="s">
        <v>1131</v>
      </c>
      <c r="P506" s="179"/>
      <c r="Q506" s="179"/>
      <c r="R506" s="179"/>
      <c r="S506" s="179"/>
    </row>
    <row r="507" spans="1:19" x14ac:dyDescent="0.2">
      <c r="A507" s="185"/>
      <c r="B507" s="175"/>
      <c r="C507" s="175"/>
      <c r="D507" s="202" t="s">
        <v>1131</v>
      </c>
      <c r="G507" s="179"/>
      <c r="H507" s="196"/>
      <c r="I507" s="203"/>
      <c r="J507" s="204">
        <v>2</v>
      </c>
      <c r="K507" s="205"/>
      <c r="L507" s="206" t="s">
        <v>1229</v>
      </c>
      <c r="M507" s="205"/>
      <c r="N507" s="205"/>
      <c r="O507" s="238" t="s">
        <v>1131</v>
      </c>
      <c r="P507" s="179"/>
      <c r="Q507" s="179"/>
      <c r="R507" s="179"/>
      <c r="S507" s="179"/>
    </row>
    <row r="508" spans="1:19" x14ac:dyDescent="0.2">
      <c r="A508" s="185"/>
      <c r="B508" s="175"/>
      <c r="C508" s="175"/>
      <c r="D508" s="202" t="s">
        <v>1131</v>
      </c>
      <c r="G508" s="179"/>
      <c r="H508" s="196"/>
      <c r="I508" s="203"/>
      <c r="J508" s="204">
        <v>3</v>
      </c>
      <c r="K508" s="205"/>
      <c r="L508" s="206" t="s">
        <v>1418</v>
      </c>
      <c r="M508" s="205"/>
      <c r="N508" s="205"/>
      <c r="O508" s="238" t="s">
        <v>1131</v>
      </c>
      <c r="P508" s="179"/>
      <c r="Q508" s="179"/>
      <c r="R508" s="179"/>
      <c r="S508" s="179"/>
    </row>
    <row r="509" spans="1:19" x14ac:dyDescent="0.2">
      <c r="A509" s="185"/>
      <c r="B509" s="175"/>
      <c r="C509" s="175"/>
      <c r="D509" s="202" t="s">
        <v>1131</v>
      </c>
      <c r="G509" s="179"/>
      <c r="H509" s="196"/>
      <c r="I509" s="203"/>
      <c r="J509" s="204">
        <v>4</v>
      </c>
      <c r="K509" s="205"/>
      <c r="L509" s="206" t="s">
        <v>1403</v>
      </c>
      <c r="M509" s="205"/>
      <c r="N509" s="205"/>
      <c r="O509" s="238" t="s">
        <v>1131</v>
      </c>
      <c r="P509" s="179"/>
      <c r="Q509" s="179"/>
      <c r="R509" s="179"/>
      <c r="S509" s="179"/>
    </row>
    <row r="510" spans="1:19" x14ac:dyDescent="0.2">
      <c r="A510" s="185"/>
      <c r="B510" s="175"/>
      <c r="C510" s="175"/>
      <c r="D510" s="202" t="s">
        <v>1131</v>
      </c>
      <c r="G510" s="179"/>
      <c r="H510" s="196"/>
      <c r="I510" s="203"/>
      <c r="J510" s="204">
        <v>5</v>
      </c>
      <c r="K510" s="205"/>
      <c r="L510" s="206" t="s">
        <v>1340</v>
      </c>
      <c r="M510" s="205"/>
      <c r="N510" s="205"/>
      <c r="O510" s="238" t="s">
        <v>1131</v>
      </c>
      <c r="P510" s="179"/>
      <c r="Q510" s="179"/>
      <c r="R510" s="179"/>
      <c r="S510" s="179"/>
    </row>
    <row r="511" spans="1:19" x14ac:dyDescent="0.2">
      <c r="A511" s="185"/>
      <c r="B511" s="175"/>
      <c r="C511" s="175"/>
      <c r="D511" s="202" t="s">
        <v>1131</v>
      </c>
      <c r="G511" s="179"/>
      <c r="H511" s="196"/>
      <c r="I511" s="203"/>
      <c r="J511" s="204">
        <v>6</v>
      </c>
      <c r="K511" s="205"/>
      <c r="L511" s="206" t="s">
        <v>1422</v>
      </c>
      <c r="M511" s="205"/>
      <c r="N511" s="205"/>
      <c r="O511" s="238" t="s">
        <v>1131</v>
      </c>
      <c r="P511" s="179"/>
      <c r="Q511" s="179"/>
      <c r="R511" s="179"/>
      <c r="S511" s="179"/>
    </row>
    <row r="512" spans="1:19" x14ac:dyDescent="0.2">
      <c r="A512" s="185"/>
      <c r="B512" s="175"/>
      <c r="C512" s="175"/>
      <c r="D512" s="202" t="s">
        <v>1131</v>
      </c>
      <c r="G512" s="179"/>
      <c r="H512" s="196"/>
      <c r="I512" s="203"/>
      <c r="J512" s="204">
        <v>7</v>
      </c>
      <c r="K512" s="205"/>
      <c r="L512" s="206" t="s">
        <v>1414</v>
      </c>
      <c r="M512" s="205"/>
      <c r="N512" s="205"/>
      <c r="O512" s="238" t="s">
        <v>1131</v>
      </c>
      <c r="P512" s="179"/>
      <c r="Q512" s="179"/>
      <c r="R512" s="179"/>
      <c r="S512" s="179"/>
    </row>
    <row r="513" spans="1:19" x14ac:dyDescent="0.2">
      <c r="A513" s="185"/>
      <c r="B513" s="175"/>
      <c r="C513" s="175"/>
      <c r="D513" s="202" t="s">
        <v>1131</v>
      </c>
      <c r="G513" s="205"/>
      <c r="H513" s="196"/>
      <c r="I513" s="203"/>
      <c r="J513" s="204">
        <v>8</v>
      </c>
      <c r="K513" s="205"/>
      <c r="L513" s="212" t="s">
        <v>1433</v>
      </c>
      <c r="M513" s="211"/>
      <c r="N513" s="211"/>
      <c r="O513" s="257" t="s">
        <v>1131</v>
      </c>
      <c r="P513" s="179"/>
      <c r="Q513" s="179"/>
      <c r="R513" s="179"/>
      <c r="S513" s="179"/>
    </row>
    <row r="514" spans="1:19" x14ac:dyDescent="0.2">
      <c r="A514" s="185"/>
      <c r="B514" s="175"/>
      <c r="C514" s="175"/>
      <c r="D514" s="202"/>
      <c r="G514" s="179"/>
      <c r="H514" s="196"/>
      <c r="I514" s="197" t="s">
        <v>1128</v>
      </c>
      <c r="J514" s="198"/>
      <c r="K514" s="214" t="s">
        <v>1424</v>
      </c>
      <c r="L514" s="200"/>
      <c r="M514" s="200"/>
      <c r="N514" s="200"/>
      <c r="O514" s="248"/>
      <c r="P514" s="179"/>
      <c r="Q514" s="179"/>
      <c r="R514" s="179"/>
      <c r="S514" s="179"/>
    </row>
    <row r="515" spans="1:19" x14ac:dyDescent="0.2">
      <c r="A515" s="185"/>
      <c r="B515" s="175"/>
      <c r="C515" s="175"/>
      <c r="D515" s="202" t="s">
        <v>1131</v>
      </c>
      <c r="G515" s="179"/>
      <c r="H515" s="196"/>
      <c r="I515" s="203"/>
      <c r="J515" s="204">
        <v>1</v>
      </c>
      <c r="K515" s="205"/>
      <c r="L515" s="206" t="s">
        <v>1408</v>
      </c>
      <c r="M515" s="205"/>
      <c r="N515" s="205"/>
      <c r="O515" s="238" t="s">
        <v>1131</v>
      </c>
      <c r="P515" s="179"/>
      <c r="Q515" s="179"/>
      <c r="R515" s="179"/>
      <c r="S515" s="179"/>
    </row>
    <row r="516" spans="1:19" x14ac:dyDescent="0.2">
      <c r="A516" s="185"/>
      <c r="B516" s="175"/>
      <c r="C516" s="175"/>
      <c r="D516" s="202" t="s">
        <v>1131</v>
      </c>
      <c r="G516" s="179"/>
      <c r="H516" s="196"/>
      <c r="I516" s="203"/>
      <c r="J516" s="204">
        <v>2</v>
      </c>
      <c r="K516" s="205"/>
      <c r="L516" s="206" t="s">
        <v>1229</v>
      </c>
      <c r="M516" s="205"/>
      <c r="N516" s="205"/>
      <c r="O516" s="238" t="s">
        <v>1131</v>
      </c>
      <c r="P516" s="179"/>
      <c r="Q516" s="179"/>
      <c r="R516" s="179"/>
      <c r="S516" s="179"/>
    </row>
    <row r="517" spans="1:19" x14ac:dyDescent="0.2">
      <c r="A517" s="185"/>
      <c r="B517" s="175"/>
      <c r="C517" s="175"/>
      <c r="D517" s="202" t="s">
        <v>1131</v>
      </c>
      <c r="G517" s="179"/>
      <c r="H517" s="196"/>
      <c r="I517" s="203"/>
      <c r="J517" s="204">
        <v>3</v>
      </c>
      <c r="K517" s="205"/>
      <c r="L517" s="206" t="s">
        <v>1418</v>
      </c>
      <c r="M517" s="205"/>
      <c r="N517" s="205"/>
      <c r="O517" s="238" t="s">
        <v>1131</v>
      </c>
      <c r="P517" s="179"/>
      <c r="Q517" s="179"/>
      <c r="R517" s="179"/>
      <c r="S517" s="179"/>
    </row>
    <row r="518" spans="1:19" x14ac:dyDescent="0.2">
      <c r="A518" s="185"/>
      <c r="B518" s="175"/>
      <c r="C518" s="175"/>
      <c r="D518" s="202" t="s">
        <v>1131</v>
      </c>
      <c r="G518" s="179"/>
      <c r="H518" s="196"/>
      <c r="I518" s="203"/>
      <c r="J518" s="204">
        <v>4</v>
      </c>
      <c r="K518" s="205"/>
      <c r="L518" s="206" t="s">
        <v>1422</v>
      </c>
      <c r="M518" s="205"/>
      <c r="N518" s="205"/>
      <c r="O518" s="238" t="s">
        <v>1131</v>
      </c>
      <c r="P518" s="179"/>
      <c r="Q518" s="179"/>
      <c r="R518" s="179"/>
      <c r="S518" s="179"/>
    </row>
    <row r="519" spans="1:19" x14ac:dyDescent="0.2">
      <c r="A519" s="185"/>
      <c r="B519" s="175"/>
      <c r="C519" s="175"/>
      <c r="D519" s="202" t="s">
        <v>1131</v>
      </c>
      <c r="G519" s="179"/>
      <c r="H519" s="196"/>
      <c r="I519" s="203"/>
      <c r="J519" s="204">
        <v>5</v>
      </c>
      <c r="K519" s="205"/>
      <c r="L519" s="206" t="s">
        <v>1414</v>
      </c>
      <c r="M519" s="205"/>
      <c r="N519" s="205"/>
      <c r="O519" s="238" t="s">
        <v>1131</v>
      </c>
      <c r="P519" s="179"/>
      <c r="Q519" s="179"/>
      <c r="R519" s="179"/>
      <c r="S519" s="179"/>
    </row>
    <row r="520" spans="1:19" ht="15.75" thickBot="1" x14ac:dyDescent="0.25">
      <c r="A520" s="185"/>
      <c r="B520" s="175"/>
      <c r="C520" s="175"/>
      <c r="D520" s="202" t="s">
        <v>1131</v>
      </c>
      <c r="G520" s="179"/>
      <c r="H520" s="216"/>
      <c r="I520" s="217"/>
      <c r="J520" s="218">
        <v>6</v>
      </c>
      <c r="K520" s="219"/>
      <c r="L520" s="220" t="s">
        <v>1406</v>
      </c>
      <c r="M520" s="219"/>
      <c r="N520" s="219"/>
      <c r="O520" s="304" t="s">
        <v>1131</v>
      </c>
      <c r="P520" s="179"/>
      <c r="Q520" s="179"/>
      <c r="R520" s="179"/>
      <c r="S520" s="179"/>
    </row>
    <row r="521" spans="1:19" ht="15.75" thickTop="1" x14ac:dyDescent="0.2">
      <c r="A521" s="185">
        <v>46</v>
      </c>
      <c r="B521" s="175" t="s">
        <v>1434</v>
      </c>
      <c r="C521" s="175" t="s">
        <v>1435</v>
      </c>
      <c r="D521" s="202"/>
      <c r="G521" s="179"/>
      <c r="H521" s="223">
        <v>46</v>
      </c>
      <c r="I521" s="225"/>
      <c r="J521" s="236"/>
      <c r="K521" s="293" t="s">
        <v>1435</v>
      </c>
      <c r="L521" s="236"/>
      <c r="M521" s="236"/>
      <c r="N521" s="236"/>
      <c r="O521" s="247"/>
      <c r="P521" s="179"/>
      <c r="Q521" s="194">
        <f>H521</f>
        <v>46</v>
      </c>
      <c r="R521" s="184" t="str">
        <f>CONCATENATE("II-",TEXT(Q521,"0000"))</f>
        <v>II-0046</v>
      </c>
      <c r="S521" s="195" t="str">
        <f>K521</f>
        <v>IMPERMEABILIZACION</v>
      </c>
    </row>
    <row r="522" spans="1:19" x14ac:dyDescent="0.2">
      <c r="A522" s="185"/>
      <c r="B522" s="175"/>
      <c r="C522" s="175"/>
      <c r="D522" s="202" t="s">
        <v>1214</v>
      </c>
      <c r="G522" s="179"/>
      <c r="H522" s="196"/>
      <c r="I522" s="197" t="s">
        <v>1020</v>
      </c>
      <c r="J522" s="205"/>
      <c r="K522" s="206" t="s">
        <v>1436</v>
      </c>
      <c r="L522" s="205"/>
      <c r="M522" s="205"/>
      <c r="N522" s="205"/>
      <c r="O522" s="238" t="s">
        <v>1214</v>
      </c>
      <c r="P522" s="179"/>
      <c r="Q522" s="179"/>
      <c r="R522" s="179"/>
      <c r="S522" s="179"/>
    </row>
    <row r="523" spans="1:19" x14ac:dyDescent="0.2">
      <c r="A523" s="185"/>
      <c r="B523" s="175"/>
      <c r="C523" s="175"/>
      <c r="D523" s="202"/>
      <c r="G523" s="179"/>
      <c r="H523" s="196"/>
      <c r="I523" s="197" t="s">
        <v>1047</v>
      </c>
      <c r="J523" s="198"/>
      <c r="K523" s="214" t="s">
        <v>1437</v>
      </c>
      <c r="L523" s="200"/>
      <c r="M523" s="200"/>
      <c r="N523" s="200"/>
      <c r="O523" s="248"/>
      <c r="P523" s="179"/>
      <c r="Q523" s="179"/>
      <c r="R523" s="179"/>
      <c r="S523" s="179"/>
    </row>
    <row r="524" spans="1:19" x14ac:dyDescent="0.2">
      <c r="A524" s="185"/>
      <c r="B524" s="175"/>
      <c r="C524" s="175"/>
      <c r="D524" s="202" t="s">
        <v>1214</v>
      </c>
      <c r="G524" s="179"/>
      <c r="H524" s="196"/>
      <c r="I524" s="203"/>
      <c r="J524" s="204">
        <v>1</v>
      </c>
      <c r="K524" s="205"/>
      <c r="L524" s="206" t="s">
        <v>1438</v>
      </c>
      <c r="M524" s="205"/>
      <c r="N524" s="205"/>
      <c r="O524" s="238" t="s">
        <v>1214</v>
      </c>
      <c r="P524" s="179"/>
      <c r="Q524" s="179"/>
      <c r="R524" s="179"/>
      <c r="S524" s="179"/>
    </row>
    <row r="525" spans="1:19" ht="15.75" thickBot="1" x14ac:dyDescent="0.25">
      <c r="A525" s="185"/>
      <c r="B525" s="175"/>
      <c r="C525" s="175"/>
      <c r="D525" s="202" t="s">
        <v>1214</v>
      </c>
      <c r="G525" s="179"/>
      <c r="H525" s="216"/>
      <c r="I525" s="217"/>
      <c r="J525" s="218">
        <v>2</v>
      </c>
      <c r="K525" s="219"/>
      <c r="L525" s="220" t="s">
        <v>1439</v>
      </c>
      <c r="M525" s="219"/>
      <c r="N525" s="219"/>
      <c r="O525" s="304" t="s">
        <v>1214</v>
      </c>
      <c r="P525" s="179"/>
      <c r="Q525" s="179"/>
      <c r="R525" s="179"/>
      <c r="S525" s="179"/>
    </row>
    <row r="526" spans="1:19" ht="15.75" thickTop="1" x14ac:dyDescent="0.2">
      <c r="A526" s="185">
        <v>47</v>
      </c>
      <c r="B526" s="175" t="s">
        <v>1440</v>
      </c>
      <c r="C526" s="175" t="s">
        <v>1441</v>
      </c>
      <c r="D526" s="202"/>
      <c r="G526" s="179"/>
      <c r="H526" s="223">
        <v>47</v>
      </c>
      <c r="I526" s="225"/>
      <c r="J526" s="236"/>
      <c r="K526" s="293" t="s">
        <v>1441</v>
      </c>
      <c r="L526" s="236"/>
      <c r="M526" s="236"/>
      <c r="N526" s="236"/>
      <c r="O526" s="247"/>
      <c r="P526" s="179"/>
      <c r="Q526" s="194">
        <f>H526</f>
        <v>47</v>
      </c>
      <c r="R526" s="184" t="str">
        <f>CONCATENATE("II-",TEXT(Q526,"0000"))</f>
        <v>II-0047</v>
      </c>
      <c r="S526" s="195" t="str">
        <f>K526</f>
        <v>IMPRIMACIÒN CON MATERIAL BITUMINOSO</v>
      </c>
    </row>
    <row r="527" spans="1:19" x14ac:dyDescent="0.2">
      <c r="A527" s="185"/>
      <c r="B527" s="175"/>
      <c r="C527" s="175"/>
      <c r="D527" s="202" t="s">
        <v>1214</v>
      </c>
      <c r="G527" s="179"/>
      <c r="H527" s="196"/>
      <c r="I527" s="197" t="s">
        <v>1020</v>
      </c>
      <c r="J527" s="244"/>
      <c r="K527" s="265" t="s">
        <v>1438</v>
      </c>
      <c r="L527" s="265"/>
      <c r="M527" s="265"/>
      <c r="N527" s="244"/>
      <c r="O527" s="279" t="s">
        <v>1214</v>
      </c>
      <c r="P527" s="179"/>
      <c r="Q527" s="179"/>
      <c r="R527" s="179"/>
      <c r="S527" s="179"/>
    </row>
    <row r="528" spans="1:19" ht="15.75" thickBot="1" x14ac:dyDescent="0.25">
      <c r="A528" s="185"/>
      <c r="B528" s="175"/>
      <c r="C528" s="175"/>
      <c r="D528" s="202" t="s">
        <v>1214</v>
      </c>
      <c r="G528" s="179"/>
      <c r="H528" s="249"/>
      <c r="I528" s="251" t="s">
        <v>1047</v>
      </c>
      <c r="J528" s="252"/>
      <c r="K528" s="253" t="s">
        <v>1439</v>
      </c>
      <c r="L528" s="253"/>
      <c r="M528" s="253"/>
      <c r="N528" s="252"/>
      <c r="O528" s="307" t="s">
        <v>1214</v>
      </c>
      <c r="P528" s="179"/>
      <c r="Q528" s="179"/>
      <c r="R528" s="179"/>
      <c r="S528" s="179"/>
    </row>
    <row r="529" spans="1:19" x14ac:dyDescent="0.2">
      <c r="A529" s="185"/>
      <c r="B529" s="175"/>
      <c r="C529" s="175"/>
      <c r="D529" s="202"/>
      <c r="G529" s="179"/>
      <c r="H529" s="255"/>
      <c r="I529" s="203"/>
      <c r="J529" s="205"/>
      <c r="K529" s="206"/>
      <c r="L529" s="206"/>
      <c r="M529" s="206"/>
      <c r="N529" s="205"/>
      <c r="O529" s="313"/>
      <c r="P529" s="179"/>
      <c r="Q529" s="179"/>
      <c r="R529" s="179"/>
      <c r="S529" s="179"/>
    </row>
    <row r="530" spans="1:19" x14ac:dyDescent="0.2">
      <c r="A530" s="185"/>
      <c r="B530" s="175"/>
      <c r="C530" s="175"/>
      <c r="D530" s="202"/>
      <c r="G530" s="205"/>
      <c r="H530" s="255"/>
      <c r="I530" s="203"/>
      <c r="J530" s="205"/>
      <c r="K530" s="206"/>
      <c r="L530" s="206"/>
      <c r="M530" s="206"/>
      <c r="N530" s="205"/>
      <c r="O530" s="313"/>
      <c r="P530" s="205"/>
      <c r="Q530" s="205"/>
      <c r="R530" s="205"/>
      <c r="S530" s="205"/>
    </row>
    <row r="531" spans="1:19" x14ac:dyDescent="0.2">
      <c r="A531" s="185">
        <v>48</v>
      </c>
      <c r="B531" s="175" t="s">
        <v>1442</v>
      </c>
      <c r="C531" s="175" t="s">
        <v>1443</v>
      </c>
      <c r="D531" s="202"/>
      <c r="G531" s="179"/>
      <c r="H531" s="223">
        <v>48</v>
      </c>
      <c r="I531" s="225"/>
      <c r="J531" s="236"/>
      <c r="K531" s="293" t="s">
        <v>1443</v>
      </c>
      <c r="L531" s="236"/>
      <c r="M531" s="236"/>
      <c r="N531" s="236"/>
      <c r="O531" s="247"/>
      <c r="P531" s="179"/>
      <c r="Q531" s="194">
        <f>H531</f>
        <v>48</v>
      </c>
      <c r="R531" s="184" t="str">
        <f>CONCATENATE("II-",TEXT(Q531,"0000"))</f>
        <v>II-0048</v>
      </c>
      <c r="S531" s="195" t="str">
        <f>K531</f>
        <v>LIMPIEZA</v>
      </c>
    </row>
    <row r="532" spans="1:19" x14ac:dyDescent="0.2">
      <c r="A532" s="185"/>
      <c r="B532" s="175"/>
      <c r="C532" s="175"/>
      <c r="D532" s="202" t="s">
        <v>1444</v>
      </c>
      <c r="G532" s="179"/>
      <c r="H532" s="196"/>
      <c r="I532" s="331" t="s">
        <v>1020</v>
      </c>
      <c r="J532" s="205"/>
      <c r="K532" s="206" t="s">
        <v>1445</v>
      </c>
      <c r="L532" s="206"/>
      <c r="M532" s="206"/>
      <c r="N532" s="205"/>
      <c r="O532" s="238" t="s">
        <v>1444</v>
      </c>
      <c r="P532" s="179"/>
      <c r="Q532" s="179"/>
      <c r="R532" s="179"/>
      <c r="S532" s="179"/>
    </row>
    <row r="533" spans="1:19" x14ac:dyDescent="0.2">
      <c r="A533" s="185"/>
      <c r="B533" s="175"/>
      <c r="C533" s="175"/>
      <c r="D533" s="202" t="s">
        <v>1131</v>
      </c>
      <c r="G533" s="179"/>
      <c r="H533" s="196"/>
      <c r="I533" s="197" t="s">
        <v>1047</v>
      </c>
      <c r="J533" s="244"/>
      <c r="K533" s="265" t="s">
        <v>1446</v>
      </c>
      <c r="L533" s="265"/>
      <c r="M533" s="265"/>
      <c r="N533" s="244"/>
      <c r="O533" s="279" t="s">
        <v>1131</v>
      </c>
      <c r="P533" s="179"/>
      <c r="Q533" s="179"/>
      <c r="R533" s="179"/>
      <c r="S533" s="179"/>
    </row>
    <row r="534" spans="1:19" x14ac:dyDescent="0.2">
      <c r="A534" s="185"/>
      <c r="B534" s="175"/>
      <c r="C534" s="175"/>
      <c r="D534" s="202" t="s">
        <v>1131</v>
      </c>
      <c r="G534" s="179"/>
      <c r="H534" s="196"/>
      <c r="I534" s="204" t="s">
        <v>1057</v>
      </c>
      <c r="J534" s="205"/>
      <c r="K534" s="206" t="s">
        <v>1447</v>
      </c>
      <c r="L534" s="206"/>
      <c r="M534" s="206"/>
      <c r="N534" s="205"/>
      <c r="O534" s="238" t="s">
        <v>1131</v>
      </c>
      <c r="P534" s="179"/>
      <c r="Q534" s="179"/>
      <c r="R534" s="179"/>
      <c r="S534" s="179"/>
    </row>
    <row r="535" spans="1:19" x14ac:dyDescent="0.2">
      <c r="A535" s="185"/>
      <c r="B535" s="175"/>
      <c r="C535" s="175"/>
      <c r="D535" s="202" t="s">
        <v>1131</v>
      </c>
      <c r="G535" s="179"/>
      <c r="H535" s="196"/>
      <c r="I535" s="331" t="s">
        <v>1083</v>
      </c>
      <c r="J535" s="200"/>
      <c r="K535" s="214" t="s">
        <v>1448</v>
      </c>
      <c r="L535" s="214"/>
      <c r="M535" s="214"/>
      <c r="N535" s="200"/>
      <c r="O535" s="248" t="s">
        <v>1131</v>
      </c>
      <c r="P535" s="179"/>
      <c r="Q535" s="179"/>
      <c r="R535" s="179"/>
      <c r="S535" s="179"/>
    </row>
    <row r="536" spans="1:19" x14ac:dyDescent="0.2">
      <c r="A536" s="185"/>
      <c r="B536" s="175"/>
      <c r="C536" s="175"/>
      <c r="D536" s="202" t="s">
        <v>1131</v>
      </c>
      <c r="G536" s="179"/>
      <c r="H536" s="196"/>
      <c r="I536" s="197" t="s">
        <v>1125</v>
      </c>
      <c r="J536" s="244"/>
      <c r="K536" s="265" t="s">
        <v>1449</v>
      </c>
      <c r="L536" s="265"/>
      <c r="M536" s="265"/>
      <c r="N536" s="244"/>
      <c r="O536" s="279" t="s">
        <v>1131</v>
      </c>
      <c r="P536" s="179"/>
      <c r="Q536" s="179"/>
      <c r="R536" s="179"/>
      <c r="S536" s="179"/>
    </row>
    <row r="537" spans="1:19" x14ac:dyDescent="0.2">
      <c r="A537" s="185"/>
      <c r="B537" s="175"/>
      <c r="C537" s="175"/>
      <c r="D537" s="202" t="s">
        <v>1248</v>
      </c>
      <c r="G537" s="179"/>
      <c r="H537" s="196"/>
      <c r="I537" s="204" t="s">
        <v>1128</v>
      </c>
      <c r="J537" s="205"/>
      <c r="K537" s="206" t="s">
        <v>1450</v>
      </c>
      <c r="L537" s="206"/>
      <c r="M537" s="206"/>
      <c r="N537" s="205"/>
      <c r="O537" s="238" t="s">
        <v>1248</v>
      </c>
      <c r="P537" s="179"/>
      <c r="Q537" s="179"/>
      <c r="R537" s="179"/>
      <c r="S537" s="179"/>
    </row>
    <row r="538" spans="1:19" x14ac:dyDescent="0.2">
      <c r="A538" s="185"/>
      <c r="B538" s="175"/>
      <c r="C538" s="175"/>
      <c r="D538" s="202" t="s">
        <v>997</v>
      </c>
      <c r="G538" s="179"/>
      <c r="H538" s="196"/>
      <c r="I538" s="197" t="s">
        <v>1132</v>
      </c>
      <c r="J538" s="244"/>
      <c r="K538" s="265" t="s">
        <v>1451</v>
      </c>
      <c r="L538" s="265"/>
      <c r="M538" s="265"/>
      <c r="N538" s="244"/>
      <c r="O538" s="279" t="s">
        <v>997</v>
      </c>
      <c r="P538" s="179"/>
      <c r="Q538" s="179"/>
      <c r="R538" s="179"/>
      <c r="S538" s="179"/>
    </row>
    <row r="539" spans="1:19" ht="15.75" thickBot="1" x14ac:dyDescent="0.25">
      <c r="A539" s="185"/>
      <c r="B539" s="175"/>
      <c r="C539" s="175"/>
      <c r="D539" s="202" t="s">
        <v>997</v>
      </c>
      <c r="G539" s="179"/>
      <c r="H539" s="216"/>
      <c r="I539" s="218" t="s">
        <v>1135</v>
      </c>
      <c r="J539" s="219"/>
      <c r="K539" s="220" t="s">
        <v>1452</v>
      </c>
      <c r="L539" s="220"/>
      <c r="M539" s="220"/>
      <c r="N539" s="219"/>
      <c r="O539" s="304" t="s">
        <v>997</v>
      </c>
      <c r="P539" s="179"/>
      <c r="Q539" s="179"/>
      <c r="R539" s="179"/>
      <c r="S539" s="179"/>
    </row>
    <row r="540" spans="1:19" ht="15.75" thickTop="1" x14ac:dyDescent="0.2">
      <c r="A540" s="185">
        <v>49</v>
      </c>
      <c r="B540" s="175" t="s">
        <v>1453</v>
      </c>
      <c r="C540" s="175" t="s">
        <v>1454</v>
      </c>
      <c r="D540" s="202"/>
      <c r="G540" s="179"/>
      <c r="H540" s="223">
        <v>49</v>
      </c>
      <c r="I540" s="225"/>
      <c r="J540" s="236"/>
      <c r="K540" s="293" t="s">
        <v>1454</v>
      </c>
      <c r="L540" s="236"/>
      <c r="M540" s="236"/>
      <c r="N540" s="236"/>
      <c r="O540" s="247"/>
      <c r="P540" s="179"/>
      <c r="Q540" s="194">
        <f>H540</f>
        <v>49</v>
      </c>
      <c r="R540" s="184" t="str">
        <f>CONCATENATE("II-",TEXT(Q540,"0000"))</f>
        <v>II-0049</v>
      </c>
      <c r="S540" s="195" t="str">
        <f>K540</f>
        <v>LOSA DE HORMIGON</v>
      </c>
    </row>
    <row r="541" spans="1:19" ht="15.75" thickBot="1" x14ac:dyDescent="0.25">
      <c r="A541" s="185"/>
      <c r="B541" s="175"/>
      <c r="C541" s="175"/>
      <c r="D541" s="202" t="s">
        <v>1214</v>
      </c>
      <c r="G541" s="179"/>
      <c r="H541" s="227"/>
      <c r="I541" s="228" t="s">
        <v>1020</v>
      </c>
      <c r="J541" s="229"/>
      <c r="K541" s="267" t="s">
        <v>1134</v>
      </c>
      <c r="L541" s="231"/>
      <c r="M541" s="231"/>
      <c r="N541" s="231"/>
      <c r="O541" s="305" t="s">
        <v>1214</v>
      </c>
      <c r="P541" s="179"/>
      <c r="Q541" s="179"/>
      <c r="R541" s="179"/>
      <c r="S541" s="179"/>
    </row>
    <row r="542" spans="1:19" ht="15.75" thickTop="1" x14ac:dyDescent="0.2">
      <c r="A542" s="185">
        <v>50</v>
      </c>
      <c r="B542" s="175" t="s">
        <v>1455</v>
      </c>
      <c r="C542" s="175" t="s">
        <v>1456</v>
      </c>
      <c r="D542" s="202"/>
      <c r="G542" s="179"/>
      <c r="H542" s="223">
        <v>50</v>
      </c>
      <c r="I542" s="225"/>
      <c r="J542" s="236"/>
      <c r="K542" s="293" t="s">
        <v>1456</v>
      </c>
      <c r="L542" s="236"/>
      <c r="M542" s="236"/>
      <c r="N542" s="236"/>
      <c r="O542" s="247"/>
      <c r="P542" s="179"/>
      <c r="Q542" s="194">
        <f>H542</f>
        <v>50</v>
      </c>
      <c r="R542" s="184" t="str">
        <f>CONCATENATE("II-",TEXT(Q542,"0000"))</f>
        <v>II-0050</v>
      </c>
      <c r="S542" s="195" t="str">
        <f>K542</f>
        <v>LOSETAS DE HORMIGON</v>
      </c>
    </row>
    <row r="543" spans="1:19" x14ac:dyDescent="0.2">
      <c r="A543" s="185"/>
      <c r="B543" s="175"/>
      <c r="C543" s="175"/>
      <c r="D543" s="202"/>
      <c r="G543" s="179"/>
      <c r="H543" s="196"/>
      <c r="I543" s="197" t="s">
        <v>1020</v>
      </c>
      <c r="J543" s="198"/>
      <c r="K543" s="214" t="s">
        <v>1457</v>
      </c>
      <c r="L543" s="200"/>
      <c r="M543" s="200"/>
      <c r="N543" s="200"/>
      <c r="O543" s="248"/>
      <c r="P543" s="179"/>
      <c r="Q543" s="179"/>
      <c r="R543" s="179"/>
      <c r="S543" s="179"/>
    </row>
    <row r="544" spans="1:19" x14ac:dyDescent="0.2">
      <c r="A544" s="185"/>
      <c r="B544" s="175"/>
      <c r="C544" s="175"/>
      <c r="D544" s="202" t="s">
        <v>1214</v>
      </c>
      <c r="G544" s="179"/>
      <c r="H544" s="196"/>
      <c r="I544" s="203"/>
      <c r="J544" s="204">
        <v>1</v>
      </c>
      <c r="K544" s="205"/>
      <c r="L544" s="206" t="s">
        <v>1458</v>
      </c>
      <c r="M544" s="205"/>
      <c r="N544" s="205"/>
      <c r="O544" s="238" t="s">
        <v>1214</v>
      </c>
      <c r="P544" s="179"/>
      <c r="Q544" s="179"/>
      <c r="R544" s="179"/>
      <c r="S544" s="179"/>
    </row>
    <row r="545" spans="1:19" x14ac:dyDescent="0.2">
      <c r="A545" s="185"/>
      <c r="B545" s="175"/>
      <c r="C545" s="175"/>
      <c r="D545" s="202" t="s">
        <v>1214</v>
      </c>
      <c r="G545" s="179"/>
      <c r="H545" s="196"/>
      <c r="I545" s="203"/>
      <c r="J545" s="204">
        <v>2</v>
      </c>
      <c r="K545" s="205"/>
      <c r="L545" s="206" t="s">
        <v>1320</v>
      </c>
      <c r="M545" s="205"/>
      <c r="N545" s="205"/>
      <c r="O545" s="238" t="s">
        <v>1214</v>
      </c>
      <c r="P545" s="179"/>
      <c r="Q545" s="179"/>
      <c r="R545" s="179"/>
      <c r="S545" s="179"/>
    </row>
    <row r="546" spans="1:19" x14ac:dyDescent="0.2">
      <c r="A546" s="185"/>
      <c r="B546" s="175"/>
      <c r="C546" s="175"/>
      <c r="D546" s="202" t="s">
        <v>1214</v>
      </c>
      <c r="G546" s="179"/>
      <c r="H546" s="196"/>
      <c r="I546" s="203"/>
      <c r="J546" s="204">
        <v>3</v>
      </c>
      <c r="K546" s="205"/>
      <c r="L546" s="206" t="s">
        <v>1340</v>
      </c>
      <c r="M546" s="205"/>
      <c r="N546" s="205"/>
      <c r="O546" s="238" t="s">
        <v>1214</v>
      </c>
      <c r="P546" s="179"/>
      <c r="Q546" s="179"/>
      <c r="R546" s="179"/>
      <c r="S546" s="179"/>
    </row>
    <row r="547" spans="1:19" x14ac:dyDescent="0.2">
      <c r="A547" s="185"/>
      <c r="B547" s="175"/>
      <c r="C547" s="175"/>
      <c r="D547" s="202" t="s">
        <v>1214</v>
      </c>
      <c r="G547" s="179"/>
      <c r="H547" s="196"/>
      <c r="I547" s="203"/>
      <c r="J547" s="204">
        <v>4</v>
      </c>
      <c r="K547" s="205"/>
      <c r="L547" s="206" t="s">
        <v>1459</v>
      </c>
      <c r="M547" s="205"/>
      <c r="N547" s="205"/>
      <c r="O547" s="238" t="s">
        <v>1214</v>
      </c>
      <c r="P547" s="179"/>
      <c r="Q547" s="179"/>
      <c r="R547" s="179"/>
      <c r="S547" s="179"/>
    </row>
    <row r="548" spans="1:19" x14ac:dyDescent="0.2">
      <c r="A548" s="185"/>
      <c r="B548" s="175"/>
      <c r="C548" s="175"/>
      <c r="D548" s="202" t="s">
        <v>1214</v>
      </c>
      <c r="G548" s="179"/>
      <c r="H548" s="196"/>
      <c r="I548" s="203"/>
      <c r="J548" s="204">
        <v>5</v>
      </c>
      <c r="K548" s="205"/>
      <c r="L548" s="206" t="s">
        <v>1460</v>
      </c>
      <c r="M548" s="205"/>
      <c r="N548" s="205"/>
      <c r="O548" s="238" t="s">
        <v>1214</v>
      </c>
      <c r="P548" s="179"/>
      <c r="Q548" s="179"/>
      <c r="R548" s="179"/>
      <c r="S548" s="179"/>
    </row>
    <row r="549" spans="1:19" x14ac:dyDescent="0.2">
      <c r="A549" s="185"/>
      <c r="B549" s="175"/>
      <c r="C549" s="175"/>
      <c r="D549" s="202" t="s">
        <v>1214</v>
      </c>
      <c r="G549" s="179"/>
      <c r="H549" s="196"/>
      <c r="I549" s="197" t="s">
        <v>1047</v>
      </c>
      <c r="J549" s="332"/>
      <c r="K549" s="265" t="s">
        <v>1089</v>
      </c>
      <c r="L549" s="265"/>
      <c r="M549" s="244"/>
      <c r="N549" s="244"/>
      <c r="O549" s="279" t="s">
        <v>1214</v>
      </c>
      <c r="P549" s="179"/>
      <c r="Q549" s="179"/>
      <c r="R549" s="179"/>
      <c r="S549" s="179"/>
    </row>
    <row r="550" spans="1:19" ht="15.75" thickBot="1" x14ac:dyDescent="0.25">
      <c r="A550" s="185"/>
      <c r="B550" s="175"/>
      <c r="C550" s="175"/>
      <c r="D550" s="202" t="s">
        <v>1214</v>
      </c>
      <c r="G550" s="179"/>
      <c r="H550" s="196"/>
      <c r="I550" s="218" t="s">
        <v>1057</v>
      </c>
      <c r="J550" s="203"/>
      <c r="K550" s="206" t="s">
        <v>1195</v>
      </c>
      <c r="L550" s="206"/>
      <c r="M550" s="205"/>
      <c r="N550" s="205"/>
      <c r="O550" s="238" t="s">
        <v>1214</v>
      </c>
      <c r="P550" s="179"/>
      <c r="Q550" s="179"/>
      <c r="R550" s="179"/>
      <c r="S550" s="179"/>
    </row>
    <row r="551" spans="1:19" ht="16.5" thickTop="1" thickBot="1" x14ac:dyDescent="0.25">
      <c r="A551" s="185">
        <v>51</v>
      </c>
      <c r="B551" s="175" t="s">
        <v>1461</v>
      </c>
      <c r="C551" s="175" t="s">
        <v>1462</v>
      </c>
      <c r="D551" s="202" t="s">
        <v>1214</v>
      </c>
      <c r="G551" s="179"/>
      <c r="H551" s="274">
        <v>51</v>
      </c>
      <c r="I551" s="224"/>
      <c r="J551" s="284"/>
      <c r="K551" s="285" t="s">
        <v>1462</v>
      </c>
      <c r="L551" s="284"/>
      <c r="M551" s="284"/>
      <c r="N551" s="284"/>
      <c r="O551" s="226" t="s">
        <v>1214</v>
      </c>
      <c r="P551" s="179"/>
      <c r="Q551" s="194">
        <f t="shared" ref="Q551:Q552" si="48">H551</f>
        <v>51</v>
      </c>
      <c r="R551" s="184" t="str">
        <f t="shared" ref="R551:R552" si="49">CONCATENATE("II-",TEXT(Q551,"0000"))</f>
        <v>II-0051</v>
      </c>
      <c r="S551" s="195" t="str">
        <f t="shared" ref="S551:S552" si="50">K551</f>
        <v>MAMPOSTERIA DE PIEDRA</v>
      </c>
    </row>
    <row r="552" spans="1:19" ht="16.5" thickTop="1" thickBot="1" x14ac:dyDescent="0.25">
      <c r="A552" s="185">
        <v>52</v>
      </c>
      <c r="B552" s="175" t="s">
        <v>1463</v>
      </c>
      <c r="C552" s="175" t="s">
        <v>1464</v>
      </c>
      <c r="D552" s="202"/>
      <c r="G552" s="179"/>
      <c r="H552" s="274">
        <v>52</v>
      </c>
      <c r="I552" s="224"/>
      <c r="J552" s="284"/>
      <c r="K552" s="285" t="s">
        <v>1464</v>
      </c>
      <c r="L552" s="284"/>
      <c r="M552" s="284"/>
      <c r="N552" s="284"/>
      <c r="O552" s="226"/>
      <c r="P552" s="179"/>
      <c r="Q552" s="194">
        <f t="shared" si="48"/>
        <v>52</v>
      </c>
      <c r="R552" s="184" t="str">
        <f t="shared" si="49"/>
        <v>II-0052</v>
      </c>
      <c r="S552" s="195" t="str">
        <f t="shared" si="50"/>
        <v>MANTENIMIENTO INVERNAL</v>
      </c>
    </row>
    <row r="553" spans="1:19" ht="15.75" thickTop="1" x14ac:dyDescent="0.2">
      <c r="A553" s="185"/>
      <c r="B553" s="175"/>
      <c r="C553" s="175"/>
      <c r="D553" s="202" t="s">
        <v>997</v>
      </c>
      <c r="G553" s="258"/>
      <c r="H553" s="333"/>
      <c r="I553" s="334" t="s">
        <v>1020</v>
      </c>
      <c r="J553" s="335"/>
      <c r="K553" s="336" t="s">
        <v>1465</v>
      </c>
      <c r="L553" s="335"/>
      <c r="M553" s="335"/>
      <c r="N553" s="335"/>
      <c r="O553" s="337" t="s">
        <v>997</v>
      </c>
      <c r="P553" s="258"/>
      <c r="Q553" s="258"/>
      <c r="R553" s="258"/>
      <c r="S553" s="258"/>
    </row>
    <row r="554" spans="1:19" ht="15.75" thickBot="1" x14ac:dyDescent="0.25">
      <c r="A554" s="185"/>
      <c r="B554" s="175"/>
      <c r="C554" s="175"/>
      <c r="D554" s="202" t="s">
        <v>1466</v>
      </c>
      <c r="G554" s="258"/>
      <c r="H554" s="338"/>
      <c r="I554" s="298" t="s">
        <v>1047</v>
      </c>
      <c r="J554" s="297"/>
      <c r="K554" s="296" t="s">
        <v>1467</v>
      </c>
      <c r="L554" s="297"/>
      <c r="M554" s="297"/>
      <c r="N554" s="297"/>
      <c r="O554" s="263" t="s">
        <v>1466</v>
      </c>
      <c r="P554" s="258"/>
      <c r="Q554" s="258"/>
      <c r="R554" s="258"/>
      <c r="S554" s="258"/>
    </row>
    <row r="555" spans="1:19" ht="15.75" thickTop="1" x14ac:dyDescent="0.2">
      <c r="A555" s="185">
        <v>53</v>
      </c>
      <c r="B555" s="175" t="s">
        <v>1468</v>
      </c>
      <c r="C555" s="175" t="s">
        <v>1469</v>
      </c>
      <c r="D555" s="202"/>
      <c r="G555" s="179"/>
      <c r="H555" s="274">
        <v>53</v>
      </c>
      <c r="I555" s="224"/>
      <c r="J555" s="284"/>
      <c r="K555" s="339" t="s">
        <v>1469</v>
      </c>
      <c r="L555" s="284"/>
      <c r="M555" s="284"/>
      <c r="N555" s="284"/>
      <c r="O555" s="226"/>
      <c r="P555" s="179"/>
      <c r="Q555" s="194">
        <f>H555</f>
        <v>53</v>
      </c>
      <c r="R555" s="184" t="str">
        <f>CONCATENATE("II-",TEXT(Q555,"0000"))</f>
        <v>II-0053</v>
      </c>
      <c r="S555" s="195" t="str">
        <f>K555</f>
        <v>MEMBRANA PVC</v>
      </c>
    </row>
    <row r="556" spans="1:19" x14ac:dyDescent="0.2">
      <c r="A556" s="185"/>
      <c r="B556" s="175"/>
      <c r="C556" s="175"/>
      <c r="D556" s="202" t="s">
        <v>1214</v>
      </c>
      <c r="G556" s="179"/>
      <c r="H556" s="196"/>
      <c r="I556" s="331" t="s">
        <v>1020</v>
      </c>
      <c r="J556" s="205"/>
      <c r="K556" s="311" t="s">
        <v>1470</v>
      </c>
      <c r="L556" s="205"/>
      <c r="M556" s="205"/>
      <c r="N556" s="205"/>
      <c r="O556" s="238" t="s">
        <v>1214</v>
      </c>
      <c r="P556" s="179"/>
      <c r="Q556" s="179"/>
      <c r="R556" s="179"/>
      <c r="S556" s="179"/>
    </row>
    <row r="557" spans="1:19" x14ac:dyDescent="0.2">
      <c r="A557" s="185"/>
      <c r="B557" s="175"/>
      <c r="C557" s="175"/>
      <c r="D557" s="202" t="s">
        <v>1214</v>
      </c>
      <c r="G557" s="179"/>
      <c r="H557" s="196"/>
      <c r="I557" s="197" t="s">
        <v>1047</v>
      </c>
      <c r="J557" s="332"/>
      <c r="K557" s="206" t="s">
        <v>1471</v>
      </c>
      <c r="L557" s="265"/>
      <c r="M557" s="244"/>
      <c r="N557" s="244"/>
      <c r="O557" s="279" t="s">
        <v>1214</v>
      </c>
      <c r="P557" s="179"/>
      <c r="Q557" s="179"/>
      <c r="R557" s="179"/>
      <c r="S557" s="179"/>
    </row>
    <row r="558" spans="1:19" x14ac:dyDescent="0.2">
      <c r="A558" s="185"/>
      <c r="B558" s="175"/>
      <c r="C558" s="175"/>
      <c r="D558" s="202" t="s">
        <v>1214</v>
      </c>
      <c r="G558" s="179"/>
      <c r="H558" s="196"/>
      <c r="I558" s="197" t="s">
        <v>1057</v>
      </c>
      <c r="J558" s="332"/>
      <c r="K558" s="265" t="s">
        <v>1139</v>
      </c>
      <c r="L558" s="265"/>
      <c r="M558" s="265"/>
      <c r="N558" s="244"/>
      <c r="O558" s="279" t="s">
        <v>1214</v>
      </c>
      <c r="P558" s="179"/>
      <c r="Q558" s="179"/>
      <c r="R558" s="179"/>
      <c r="S558" s="179"/>
    </row>
    <row r="559" spans="1:19" ht="15.75" thickBot="1" x14ac:dyDescent="0.25">
      <c r="A559" s="185"/>
      <c r="B559" s="175"/>
      <c r="C559" s="175"/>
      <c r="D559" s="202" t="s">
        <v>1214</v>
      </c>
      <c r="G559" s="179"/>
      <c r="H559" s="196"/>
      <c r="I559" s="218" t="s">
        <v>1083</v>
      </c>
      <c r="J559" s="203"/>
      <c r="K559" s="267" t="s">
        <v>1137</v>
      </c>
      <c r="L559" s="206"/>
      <c r="M559" s="206"/>
      <c r="N559" s="205"/>
      <c r="O559" s="238" t="s">
        <v>1214</v>
      </c>
      <c r="P559" s="179"/>
      <c r="Q559" s="179"/>
      <c r="R559" s="179"/>
      <c r="S559" s="179"/>
    </row>
    <row r="560" spans="1:19" ht="15.75" thickTop="1" x14ac:dyDescent="0.2">
      <c r="A560" s="185">
        <v>54</v>
      </c>
      <c r="B560" s="175" t="s">
        <v>1472</v>
      </c>
      <c r="C560" s="175" t="s">
        <v>1473</v>
      </c>
      <c r="D560" s="202"/>
      <c r="G560" s="179"/>
      <c r="H560" s="274">
        <v>54</v>
      </c>
      <c r="I560" s="224"/>
      <c r="J560" s="284"/>
      <c r="K560" s="293" t="s">
        <v>1473</v>
      </c>
      <c r="L560" s="284"/>
      <c r="M560" s="284"/>
      <c r="N560" s="284"/>
      <c r="O560" s="226"/>
      <c r="P560" s="179"/>
      <c r="Q560" s="194">
        <f>H560</f>
        <v>54</v>
      </c>
      <c r="R560" s="184" t="str">
        <f>CONCATENATE("II-",TEXT(Q560,"0000"))</f>
        <v>II-0054</v>
      </c>
      <c r="S560" s="195" t="str">
        <f>K560</f>
        <v>MOVILIDAD PARA EL PERSONAL AUXILIAR DE SUPERVISION</v>
      </c>
    </row>
    <row r="561" spans="1:19" x14ac:dyDescent="0.2">
      <c r="A561" s="185">
        <v>1</v>
      </c>
      <c r="B561" s="186" t="str">
        <f>CONCATENATE($B$560,".",TEXT(A561,"0000"))</f>
        <v>II-0054.0001</v>
      </c>
      <c r="C561" s="175" t="str">
        <f>K561</f>
        <v xml:space="preserve">CUOTA FIJA </v>
      </c>
      <c r="D561" s="202" t="s">
        <v>1474</v>
      </c>
      <c r="G561" s="179"/>
      <c r="H561" s="196"/>
      <c r="I561" s="197" t="s">
        <v>1020</v>
      </c>
      <c r="J561" s="244"/>
      <c r="K561" s="265" t="s">
        <v>1475</v>
      </c>
      <c r="L561" s="265"/>
      <c r="M561" s="265"/>
      <c r="N561" s="244"/>
      <c r="O561" s="279" t="s">
        <v>1474</v>
      </c>
      <c r="P561" s="179"/>
      <c r="Q561" s="179"/>
      <c r="R561" s="179"/>
      <c r="S561" s="179"/>
    </row>
    <row r="562" spans="1:19" ht="15.75" thickBot="1" x14ac:dyDescent="0.25">
      <c r="A562" s="185">
        <v>2</v>
      </c>
      <c r="B562" s="186" t="str">
        <f>CONCATENATE($B$560,".",TEXT(A562,"0000"))</f>
        <v>II-0054.0002</v>
      </c>
      <c r="C562" s="175" t="str">
        <f>K562</f>
        <v>ADICIONAL POR KM</v>
      </c>
      <c r="D562" s="202" t="s">
        <v>1476</v>
      </c>
      <c r="G562" s="179"/>
      <c r="H562" s="216"/>
      <c r="I562" s="218" t="s">
        <v>1047</v>
      </c>
      <c r="J562" s="219"/>
      <c r="K562" s="220" t="s">
        <v>1477</v>
      </c>
      <c r="L562" s="220"/>
      <c r="M562" s="220"/>
      <c r="N562" s="219"/>
      <c r="O562" s="304" t="s">
        <v>1476</v>
      </c>
      <c r="P562" s="179"/>
      <c r="Q562" s="179"/>
      <c r="R562" s="179"/>
      <c r="S562" s="179"/>
    </row>
    <row r="563" spans="1:19" ht="16.5" thickTop="1" thickBot="1" x14ac:dyDescent="0.25">
      <c r="A563" s="185">
        <v>55</v>
      </c>
      <c r="B563" s="175" t="s">
        <v>1478</v>
      </c>
      <c r="C563" s="175" t="s">
        <v>1479</v>
      </c>
      <c r="D563" s="202" t="s">
        <v>5</v>
      </c>
      <c r="G563" s="179"/>
      <c r="H563" s="223">
        <v>55</v>
      </c>
      <c r="I563" s="225"/>
      <c r="J563" s="236"/>
      <c r="K563" s="293" t="s">
        <v>1479</v>
      </c>
      <c r="L563" s="236"/>
      <c r="M563" s="236"/>
      <c r="N563" s="236"/>
      <c r="O563" s="247" t="s">
        <v>5</v>
      </c>
      <c r="P563" s="179"/>
      <c r="Q563" s="194">
        <f t="shared" ref="Q563:Q564" si="51">H563</f>
        <v>55</v>
      </c>
      <c r="R563" s="184" t="str">
        <f t="shared" ref="R563:R564" si="52">CONCATENATE("II-",TEXT(Q563,"0000"))</f>
        <v>II-0055</v>
      </c>
      <c r="S563" s="195" t="str">
        <f t="shared" ref="S563:S564" si="53">K563</f>
        <v>MOVILIZACION DE OBRA</v>
      </c>
    </row>
    <row r="564" spans="1:19" ht="15.75" thickTop="1" x14ac:dyDescent="0.2">
      <c r="A564" s="185">
        <v>56</v>
      </c>
      <c r="B564" s="175" t="s">
        <v>1480</v>
      </c>
      <c r="C564" s="175" t="s">
        <v>1481</v>
      </c>
      <c r="D564" s="202"/>
      <c r="G564" s="179"/>
      <c r="H564" s="274">
        <v>56</v>
      </c>
      <c r="I564" s="224"/>
      <c r="J564" s="284"/>
      <c r="K564" s="285" t="s">
        <v>1481</v>
      </c>
      <c r="L564" s="284"/>
      <c r="M564" s="284"/>
      <c r="N564" s="284"/>
      <c r="O564" s="226"/>
      <c r="P564" s="179"/>
      <c r="Q564" s="194">
        <f t="shared" si="51"/>
        <v>56</v>
      </c>
      <c r="R564" s="184" t="str">
        <f t="shared" si="52"/>
        <v>II-0056</v>
      </c>
      <c r="S564" s="195" t="str">
        <f t="shared" si="53"/>
        <v xml:space="preserve">PASARELA </v>
      </c>
    </row>
    <row r="565" spans="1:19" x14ac:dyDescent="0.2">
      <c r="A565" s="185"/>
      <c r="B565" s="175"/>
      <c r="C565" s="175"/>
      <c r="D565" s="202" t="s">
        <v>996</v>
      </c>
      <c r="G565" s="179"/>
      <c r="H565" s="196"/>
      <c r="I565" s="331" t="s">
        <v>1020</v>
      </c>
      <c r="J565" s="205"/>
      <c r="K565" s="206" t="s">
        <v>1244</v>
      </c>
      <c r="L565" s="205"/>
      <c r="M565" s="205"/>
      <c r="N565" s="205"/>
      <c r="O565" s="238" t="s">
        <v>996</v>
      </c>
      <c r="P565" s="179"/>
      <c r="Q565" s="179"/>
      <c r="R565" s="179"/>
      <c r="S565" s="179"/>
    </row>
    <row r="566" spans="1:19" x14ac:dyDescent="0.2">
      <c r="A566" s="185"/>
      <c r="B566" s="175"/>
      <c r="C566" s="175"/>
      <c r="D566" s="202"/>
      <c r="G566" s="179"/>
      <c r="H566" s="196"/>
      <c r="I566" s="197" t="s">
        <v>1047</v>
      </c>
      <c r="J566" s="200"/>
      <c r="K566" s="214" t="s">
        <v>1245</v>
      </c>
      <c r="L566" s="200"/>
      <c r="M566" s="200"/>
      <c r="N566" s="200"/>
      <c r="O566" s="248"/>
      <c r="P566" s="179"/>
      <c r="Q566" s="179"/>
      <c r="R566" s="179"/>
      <c r="S566" s="179"/>
    </row>
    <row r="567" spans="1:19" x14ac:dyDescent="0.2">
      <c r="A567" s="185"/>
      <c r="B567" s="175"/>
      <c r="C567" s="175"/>
      <c r="D567" s="202" t="s">
        <v>1256</v>
      </c>
      <c r="G567" s="179"/>
      <c r="H567" s="196"/>
      <c r="I567" s="203"/>
      <c r="J567" s="204">
        <v>1</v>
      </c>
      <c r="K567" s="205"/>
      <c r="L567" s="206" t="s">
        <v>1482</v>
      </c>
      <c r="M567" s="205"/>
      <c r="N567" s="205"/>
      <c r="O567" s="238" t="s">
        <v>1256</v>
      </c>
      <c r="P567" s="179"/>
      <c r="Q567" s="179"/>
      <c r="R567" s="179"/>
      <c r="S567" s="179"/>
    </row>
    <row r="568" spans="1:19" x14ac:dyDescent="0.2">
      <c r="A568" s="185"/>
      <c r="B568" s="175"/>
      <c r="C568" s="175"/>
      <c r="D568" s="202" t="s">
        <v>1256</v>
      </c>
      <c r="G568" s="179"/>
      <c r="H568" s="196"/>
      <c r="I568" s="203"/>
      <c r="J568" s="204">
        <v>2</v>
      </c>
      <c r="K568" s="205"/>
      <c r="L568" s="206" t="s">
        <v>1483</v>
      </c>
      <c r="M568" s="205"/>
      <c r="N568" s="205"/>
      <c r="O568" s="238" t="s">
        <v>1256</v>
      </c>
      <c r="P568" s="179"/>
      <c r="Q568" s="179"/>
      <c r="R568" s="179"/>
      <c r="S568" s="179"/>
    </row>
    <row r="569" spans="1:19" x14ac:dyDescent="0.2">
      <c r="A569" s="185"/>
      <c r="B569" s="175"/>
      <c r="C569" s="175"/>
      <c r="D569" s="202" t="s">
        <v>996</v>
      </c>
      <c r="G569" s="179"/>
      <c r="H569" s="196"/>
      <c r="I569" s="215"/>
      <c r="J569" s="210">
        <v>3</v>
      </c>
      <c r="K569" s="211"/>
      <c r="L569" s="212" t="s">
        <v>1484</v>
      </c>
      <c r="M569" s="211"/>
      <c r="N569" s="211"/>
      <c r="O569" s="257" t="s">
        <v>996</v>
      </c>
      <c r="P569" s="179"/>
      <c r="Q569" s="179"/>
      <c r="R569" s="179"/>
      <c r="S569" s="179"/>
    </row>
    <row r="570" spans="1:19" ht="15.75" thickBot="1" x14ac:dyDescent="0.25">
      <c r="A570" s="185"/>
      <c r="B570" s="175"/>
      <c r="C570" s="175"/>
      <c r="D570" s="202" t="s">
        <v>996</v>
      </c>
      <c r="G570" s="179"/>
      <c r="H570" s="196"/>
      <c r="I570" s="218" t="s">
        <v>1057</v>
      </c>
      <c r="J570" s="205"/>
      <c r="K570" s="206" t="s">
        <v>1485</v>
      </c>
      <c r="L570" s="205"/>
      <c r="M570" s="205"/>
      <c r="N570" s="205"/>
      <c r="O570" s="238" t="s">
        <v>996</v>
      </c>
      <c r="P570" s="179"/>
      <c r="Q570" s="179"/>
      <c r="R570" s="179"/>
      <c r="S570" s="179"/>
    </row>
    <row r="571" spans="1:19" ht="15.75" thickTop="1" x14ac:dyDescent="0.2">
      <c r="A571" s="185">
        <v>57</v>
      </c>
      <c r="B571" s="175" t="s">
        <v>1486</v>
      </c>
      <c r="C571" s="175" t="s">
        <v>1487</v>
      </c>
      <c r="D571" s="202"/>
      <c r="G571" s="179"/>
      <c r="H571" s="274">
        <v>57</v>
      </c>
      <c r="I571" s="224"/>
      <c r="J571" s="284"/>
      <c r="K571" s="285" t="s">
        <v>1487</v>
      </c>
      <c r="L571" s="284"/>
      <c r="M571" s="284"/>
      <c r="N571" s="284"/>
      <c r="O571" s="226"/>
      <c r="P571" s="179"/>
      <c r="Q571" s="194">
        <f>H571</f>
        <v>57</v>
      </c>
      <c r="R571" s="184" t="str">
        <f>CONCATENATE("II-",TEXT(Q571,"0000"))</f>
        <v>II-0057</v>
      </c>
      <c r="S571" s="195" t="str">
        <f>K571</f>
        <v>PASO A NIVEL</v>
      </c>
    </row>
    <row r="572" spans="1:19" ht="15.75" thickBot="1" x14ac:dyDescent="0.25">
      <c r="A572" s="185"/>
      <c r="B572" s="175"/>
      <c r="C572" s="175"/>
      <c r="D572" s="202" t="s">
        <v>5</v>
      </c>
      <c r="G572" s="179"/>
      <c r="H572" s="227"/>
      <c r="I572" s="229" t="s">
        <v>1020</v>
      </c>
      <c r="J572" s="231"/>
      <c r="K572" s="267" t="s">
        <v>1488</v>
      </c>
      <c r="L572" s="267"/>
      <c r="M572" s="267"/>
      <c r="N572" s="267"/>
      <c r="O572" s="305" t="s">
        <v>5</v>
      </c>
      <c r="P572" s="179"/>
      <c r="Q572" s="179"/>
      <c r="R572" s="179"/>
      <c r="S572" s="179"/>
    </row>
    <row r="573" spans="1:19" ht="15.75" thickTop="1" x14ac:dyDescent="0.2">
      <c r="A573" s="185">
        <v>58</v>
      </c>
      <c r="B573" s="175" t="s">
        <v>1489</v>
      </c>
      <c r="C573" s="175" t="s">
        <v>1490</v>
      </c>
      <c r="D573" s="202"/>
      <c r="G573" s="179"/>
      <c r="H573" s="274">
        <v>58</v>
      </c>
      <c r="I573" s="224"/>
      <c r="J573" s="284"/>
      <c r="K573" s="285" t="s">
        <v>1490</v>
      </c>
      <c r="L573" s="285"/>
      <c r="M573" s="285"/>
      <c r="N573" s="285"/>
      <c r="O573" s="226"/>
      <c r="P573" s="179"/>
      <c r="Q573" s="194">
        <f>H573</f>
        <v>58</v>
      </c>
      <c r="R573" s="184" t="str">
        <f>CONCATENATE("II-",TEXT(Q573,"0000"))</f>
        <v>II-0058</v>
      </c>
      <c r="S573" s="195" t="str">
        <f>K573</f>
        <v>PAVIMENTO DE HORMIGON</v>
      </c>
    </row>
    <row r="574" spans="1:19" x14ac:dyDescent="0.2">
      <c r="A574" s="185"/>
      <c r="B574" s="175"/>
      <c r="C574" s="175"/>
      <c r="D574" s="202" t="s">
        <v>1214</v>
      </c>
      <c r="G574" s="179"/>
      <c r="H574" s="196"/>
      <c r="I574" s="331" t="s">
        <v>1020</v>
      </c>
      <c r="J574" s="205"/>
      <c r="K574" s="206" t="s">
        <v>1491</v>
      </c>
      <c r="L574" s="206"/>
      <c r="M574" s="206"/>
      <c r="N574" s="206"/>
      <c r="O574" s="238" t="s">
        <v>1214</v>
      </c>
      <c r="P574" s="179"/>
      <c r="Q574" s="179"/>
      <c r="R574" s="179"/>
      <c r="S574" s="179"/>
    </row>
    <row r="575" spans="1:19" x14ac:dyDescent="0.2">
      <c r="A575" s="185"/>
      <c r="B575" s="175"/>
      <c r="C575" s="175"/>
      <c r="D575" s="202" t="s">
        <v>1214</v>
      </c>
      <c r="G575" s="179"/>
      <c r="H575" s="196"/>
      <c r="I575" s="197" t="s">
        <v>1047</v>
      </c>
      <c r="J575" s="244"/>
      <c r="K575" s="265" t="s">
        <v>1490</v>
      </c>
      <c r="L575" s="265"/>
      <c r="M575" s="265"/>
      <c r="N575" s="265"/>
      <c r="O575" s="279" t="s">
        <v>1214</v>
      </c>
      <c r="P575" s="179"/>
      <c r="Q575" s="179"/>
      <c r="R575" s="179"/>
      <c r="S575" s="179"/>
    </row>
    <row r="576" spans="1:19" x14ac:dyDescent="0.2">
      <c r="A576" s="185"/>
      <c r="B576" s="175"/>
      <c r="C576" s="175"/>
      <c r="D576" s="202" t="s">
        <v>1214</v>
      </c>
      <c r="G576" s="179"/>
      <c r="H576" s="196"/>
      <c r="I576" s="210" t="s">
        <v>1057</v>
      </c>
      <c r="J576" s="211"/>
      <c r="K576" s="265" t="s">
        <v>1492</v>
      </c>
      <c r="L576" s="212"/>
      <c r="M576" s="212"/>
      <c r="N576" s="212"/>
      <c r="O576" s="257" t="s">
        <v>1214</v>
      </c>
      <c r="P576" s="179"/>
      <c r="Q576" s="179"/>
      <c r="R576" s="179"/>
      <c r="S576" s="179"/>
    </row>
    <row r="577" spans="1:19" x14ac:dyDescent="0.2">
      <c r="A577" s="185"/>
      <c r="B577" s="175"/>
      <c r="C577" s="175"/>
      <c r="D577" s="202" t="s">
        <v>1214</v>
      </c>
      <c r="G577" s="179"/>
      <c r="H577" s="196"/>
      <c r="I577" s="204" t="s">
        <v>1083</v>
      </c>
      <c r="J577" s="205"/>
      <c r="K577" s="214" t="s">
        <v>1134</v>
      </c>
      <c r="L577" s="206"/>
      <c r="M577" s="206"/>
      <c r="N577" s="206"/>
      <c r="O577" s="238" t="s">
        <v>1214</v>
      </c>
      <c r="P577" s="179"/>
      <c r="Q577" s="179"/>
      <c r="R577" s="179"/>
      <c r="S577" s="179"/>
    </row>
    <row r="578" spans="1:19" ht="15.75" thickBot="1" x14ac:dyDescent="0.25">
      <c r="A578" s="185">
        <v>59</v>
      </c>
      <c r="B578" s="175" t="s">
        <v>1493</v>
      </c>
      <c r="C578" s="175" t="s">
        <v>1494</v>
      </c>
      <c r="D578" s="202" t="s">
        <v>1131</v>
      </c>
      <c r="G578" s="179"/>
      <c r="H578" s="315">
        <v>59</v>
      </c>
      <c r="I578" s="316"/>
      <c r="J578" s="317"/>
      <c r="K578" s="340" t="s">
        <v>1494</v>
      </c>
      <c r="L578" s="317"/>
      <c r="M578" s="317"/>
      <c r="N578" s="317"/>
      <c r="O578" s="319" t="s">
        <v>1131</v>
      </c>
      <c r="P578" s="179"/>
      <c r="Q578" s="194">
        <f t="shared" ref="Q578:Q579" si="54">H578</f>
        <v>59</v>
      </c>
      <c r="R578" s="184" t="str">
        <f t="shared" ref="R578:R579" si="55">CONCATENATE("II-",TEXT(Q578,"0000"))</f>
        <v>II-0059</v>
      </c>
      <c r="S578" s="195" t="str">
        <f t="shared" ref="S578:S579" si="56">K578</f>
        <v>PEDRAPLEN</v>
      </c>
    </row>
    <row r="579" spans="1:19" ht="15.75" thickTop="1" x14ac:dyDescent="0.2">
      <c r="A579" s="185">
        <v>60</v>
      </c>
      <c r="B579" s="175" t="s">
        <v>1495</v>
      </c>
      <c r="C579" s="175" t="s">
        <v>1496</v>
      </c>
      <c r="D579" s="202"/>
      <c r="G579" s="179"/>
      <c r="H579" s="223">
        <v>60</v>
      </c>
      <c r="I579" s="225"/>
      <c r="J579" s="236"/>
      <c r="K579" s="293" t="s">
        <v>1496</v>
      </c>
      <c r="L579" s="236"/>
      <c r="M579" s="236"/>
      <c r="N579" s="236"/>
      <c r="O579" s="247"/>
      <c r="P579" s="179"/>
      <c r="Q579" s="194">
        <f t="shared" si="54"/>
        <v>60</v>
      </c>
      <c r="R579" s="184" t="str">
        <f t="shared" si="55"/>
        <v>II-0060</v>
      </c>
      <c r="S579" s="195" t="str">
        <f t="shared" si="56"/>
        <v>PERFILADO</v>
      </c>
    </row>
    <row r="580" spans="1:19" x14ac:dyDescent="0.2">
      <c r="A580" s="185"/>
      <c r="B580" s="175"/>
      <c r="C580" s="175"/>
      <c r="D580" s="202" t="s">
        <v>1214</v>
      </c>
      <c r="G580" s="179"/>
      <c r="H580" s="196"/>
      <c r="I580" s="331" t="s">
        <v>1020</v>
      </c>
      <c r="J580" s="205"/>
      <c r="K580" s="206" t="s">
        <v>1497</v>
      </c>
      <c r="L580" s="205"/>
      <c r="M580" s="205"/>
      <c r="N580" s="205"/>
      <c r="O580" s="238" t="s">
        <v>1214</v>
      </c>
      <c r="P580" s="179"/>
      <c r="Q580" s="179"/>
      <c r="R580" s="179"/>
      <c r="S580" s="179"/>
    </row>
    <row r="581" spans="1:19" x14ac:dyDescent="0.2">
      <c r="A581" s="185"/>
      <c r="B581" s="175"/>
      <c r="C581" s="175"/>
      <c r="D581" s="202" t="s">
        <v>1214</v>
      </c>
      <c r="G581" s="179"/>
      <c r="H581" s="196"/>
      <c r="I581" s="197" t="s">
        <v>1047</v>
      </c>
      <c r="J581" s="244"/>
      <c r="K581" s="265" t="s">
        <v>1340</v>
      </c>
      <c r="L581" s="244"/>
      <c r="M581" s="244"/>
      <c r="N581" s="244"/>
      <c r="O581" s="279" t="s">
        <v>1214</v>
      </c>
      <c r="P581" s="179"/>
      <c r="Q581" s="179"/>
      <c r="R581" s="179"/>
      <c r="S581" s="179"/>
    </row>
    <row r="582" spans="1:19" ht="15.75" thickBot="1" x14ac:dyDescent="0.25">
      <c r="A582" s="185"/>
      <c r="B582" s="175"/>
      <c r="C582" s="175"/>
      <c r="D582" s="202" t="s">
        <v>1214</v>
      </c>
      <c r="G582" s="179"/>
      <c r="H582" s="196"/>
      <c r="I582" s="218" t="s">
        <v>1057</v>
      </c>
      <c r="J582" s="205"/>
      <c r="K582" s="206" t="s">
        <v>1459</v>
      </c>
      <c r="L582" s="205"/>
      <c r="M582" s="205"/>
      <c r="N582" s="205"/>
      <c r="O582" s="238" t="s">
        <v>1214</v>
      </c>
      <c r="P582" s="179"/>
      <c r="Q582" s="179"/>
      <c r="R582" s="179"/>
      <c r="S582" s="179"/>
    </row>
    <row r="583" spans="1:19" ht="16.5" thickTop="1" thickBot="1" x14ac:dyDescent="0.25">
      <c r="A583" s="185">
        <v>61</v>
      </c>
      <c r="B583" s="175" t="s">
        <v>1498</v>
      </c>
      <c r="C583" s="175" t="s">
        <v>1499</v>
      </c>
      <c r="D583" s="202" t="s">
        <v>1214</v>
      </c>
      <c r="G583" s="179"/>
      <c r="H583" s="320">
        <v>61</v>
      </c>
      <c r="I583" s="321"/>
      <c r="J583" s="322"/>
      <c r="K583" s="323" t="s">
        <v>1499</v>
      </c>
      <c r="L583" s="322"/>
      <c r="M583" s="322"/>
      <c r="N583" s="322"/>
      <c r="O583" s="324" t="s">
        <v>1214</v>
      </c>
      <c r="P583" s="179"/>
      <c r="Q583" s="194">
        <f t="shared" ref="Q583:Q584" si="57">H583</f>
        <v>61</v>
      </c>
      <c r="R583" s="184" t="str">
        <f t="shared" ref="R583:R584" si="58">CONCATENATE("II-",TEXT(Q583,"0000"))</f>
        <v>II-0061</v>
      </c>
      <c r="S583" s="195" t="str">
        <f t="shared" ref="S583:S584" si="59">K583</f>
        <v>PIEDRA COLOCADA</v>
      </c>
    </row>
    <row r="584" spans="1:19" ht="15.75" thickTop="1" x14ac:dyDescent="0.2">
      <c r="A584" s="185">
        <v>62</v>
      </c>
      <c r="B584" s="175" t="s">
        <v>1500</v>
      </c>
      <c r="C584" s="175" t="s">
        <v>1501</v>
      </c>
      <c r="D584" s="202"/>
      <c r="G584" s="179"/>
      <c r="H584" s="223">
        <v>62</v>
      </c>
      <c r="I584" s="225"/>
      <c r="J584" s="236"/>
      <c r="K584" s="293" t="s">
        <v>1501</v>
      </c>
      <c r="L584" s="236"/>
      <c r="M584" s="236"/>
      <c r="N584" s="236"/>
      <c r="O584" s="247"/>
      <c r="P584" s="179"/>
      <c r="Q584" s="194">
        <f t="shared" si="57"/>
        <v>62</v>
      </c>
      <c r="R584" s="184" t="str">
        <f t="shared" si="58"/>
        <v>II-0062</v>
      </c>
      <c r="S584" s="195" t="str">
        <f t="shared" si="59"/>
        <v>PRADERIZACION</v>
      </c>
    </row>
    <row r="585" spans="1:19" x14ac:dyDescent="0.2">
      <c r="A585" s="185"/>
      <c r="B585" s="175"/>
      <c r="C585" s="175"/>
      <c r="D585" s="202" t="s">
        <v>1214</v>
      </c>
      <c r="G585" s="179"/>
      <c r="H585" s="196"/>
      <c r="I585" s="331" t="s">
        <v>1020</v>
      </c>
      <c r="J585" s="205"/>
      <c r="K585" s="206" t="s">
        <v>1502</v>
      </c>
      <c r="L585" s="205"/>
      <c r="M585" s="205"/>
      <c r="N585" s="205"/>
      <c r="O585" s="238" t="s">
        <v>1214</v>
      </c>
      <c r="P585" s="179"/>
      <c r="Q585" s="179"/>
      <c r="R585" s="179"/>
      <c r="S585" s="179"/>
    </row>
    <row r="586" spans="1:19" x14ac:dyDescent="0.2">
      <c r="A586" s="185"/>
      <c r="B586" s="175"/>
      <c r="C586" s="175"/>
      <c r="D586" s="202" t="s">
        <v>1214</v>
      </c>
      <c r="G586" s="179"/>
      <c r="H586" s="196"/>
      <c r="I586" s="197" t="s">
        <v>1047</v>
      </c>
      <c r="J586" s="244"/>
      <c r="K586" s="265" t="s">
        <v>1503</v>
      </c>
      <c r="L586" s="244"/>
      <c r="M586" s="244"/>
      <c r="N586" s="244"/>
      <c r="O586" s="279" t="s">
        <v>1214</v>
      </c>
      <c r="P586" s="179"/>
      <c r="Q586" s="179"/>
      <c r="R586" s="179"/>
      <c r="S586" s="179"/>
    </row>
    <row r="587" spans="1:19" ht="15.75" thickBot="1" x14ac:dyDescent="0.25">
      <c r="A587" s="185"/>
      <c r="B587" s="175"/>
      <c r="C587" s="175"/>
      <c r="D587" s="202" t="s">
        <v>1504</v>
      </c>
      <c r="G587" s="179"/>
      <c r="H587" s="196"/>
      <c r="I587" s="218" t="s">
        <v>1057</v>
      </c>
      <c r="J587" s="205"/>
      <c r="K587" s="206" t="s">
        <v>1505</v>
      </c>
      <c r="L587" s="205"/>
      <c r="M587" s="205"/>
      <c r="N587" s="205"/>
      <c r="O587" s="238" t="s">
        <v>1504</v>
      </c>
      <c r="P587" s="179"/>
      <c r="Q587" s="179"/>
      <c r="R587" s="179"/>
      <c r="S587" s="179"/>
    </row>
    <row r="588" spans="1:19" ht="15.75" thickTop="1" x14ac:dyDescent="0.2">
      <c r="A588" s="185">
        <v>63</v>
      </c>
      <c r="B588" s="175" t="s">
        <v>1506</v>
      </c>
      <c r="C588" s="175" t="s">
        <v>1507</v>
      </c>
      <c r="D588" s="202"/>
      <c r="G588" s="179"/>
      <c r="H588" s="274">
        <v>63</v>
      </c>
      <c r="I588" s="224"/>
      <c r="J588" s="284"/>
      <c r="K588" s="285" t="s">
        <v>1507</v>
      </c>
      <c r="L588" s="284"/>
      <c r="M588" s="284"/>
      <c r="N588" s="284"/>
      <c r="O588" s="226"/>
      <c r="P588" s="179"/>
      <c r="Q588" s="194">
        <f>H588</f>
        <v>63</v>
      </c>
      <c r="R588" s="184" t="str">
        <f>CONCATENATE("II-",TEXT(Q588,"0000"))</f>
        <v>II-0063</v>
      </c>
      <c r="S588" s="195" t="str">
        <f>K588</f>
        <v>PRETILES</v>
      </c>
    </row>
    <row r="589" spans="1:19" x14ac:dyDescent="0.2">
      <c r="A589" s="185"/>
      <c r="B589" s="175"/>
      <c r="C589" s="175"/>
      <c r="D589" s="202" t="s">
        <v>1248</v>
      </c>
      <c r="G589" s="179"/>
      <c r="H589" s="196"/>
      <c r="I589" s="197" t="s">
        <v>1020</v>
      </c>
      <c r="J589" s="244"/>
      <c r="K589" s="341" t="s">
        <v>1508</v>
      </c>
      <c r="L589" s="342"/>
      <c r="M589" s="342"/>
      <c r="N589" s="244"/>
      <c r="O589" s="279" t="s">
        <v>1248</v>
      </c>
      <c r="P589" s="179"/>
      <c r="Q589" s="179"/>
      <c r="R589" s="179"/>
      <c r="S589" s="179"/>
    </row>
    <row r="590" spans="1:19" ht="15.75" thickBot="1" x14ac:dyDescent="0.25">
      <c r="A590" s="185"/>
      <c r="B590" s="175"/>
      <c r="C590" s="175"/>
      <c r="D590" s="202" t="s">
        <v>1248</v>
      </c>
      <c r="G590" s="179"/>
      <c r="H590" s="216"/>
      <c r="I590" s="218" t="s">
        <v>1047</v>
      </c>
      <c r="J590" s="219"/>
      <c r="K590" s="343" t="s">
        <v>1509</v>
      </c>
      <c r="L590" s="344"/>
      <c r="M590" s="344"/>
      <c r="N590" s="219"/>
      <c r="O590" s="304" t="s">
        <v>1248</v>
      </c>
      <c r="P590" s="179"/>
      <c r="Q590" s="179"/>
      <c r="R590" s="179"/>
      <c r="S590" s="179"/>
    </row>
    <row r="591" spans="1:19" ht="15.75" thickTop="1" x14ac:dyDescent="0.2">
      <c r="A591" s="185">
        <v>64</v>
      </c>
      <c r="B591" s="175" t="s">
        <v>1510</v>
      </c>
      <c r="C591" s="175" t="s">
        <v>1511</v>
      </c>
      <c r="D591" s="202"/>
      <c r="G591" s="179"/>
      <c r="H591" s="223">
        <v>64</v>
      </c>
      <c r="I591" s="225"/>
      <c r="J591" s="236"/>
      <c r="K591" s="293" t="s">
        <v>1511</v>
      </c>
      <c r="L591" s="236"/>
      <c r="M591" s="236"/>
      <c r="N591" s="236"/>
      <c r="O591" s="247"/>
      <c r="P591" s="179"/>
      <c r="Q591" s="194">
        <f>H591</f>
        <v>64</v>
      </c>
      <c r="R591" s="184" t="str">
        <f>CONCATENATE("II-",TEXT(Q591,"0000"))</f>
        <v>II-0064</v>
      </c>
      <c r="S591" s="195" t="str">
        <f>K591</f>
        <v>PROTECCION DE DUCTOS</v>
      </c>
    </row>
    <row r="592" spans="1:19" ht="15.75" thickBot="1" x14ac:dyDescent="0.25">
      <c r="A592" s="185"/>
      <c r="B592" s="175"/>
      <c r="C592" s="175"/>
      <c r="D592" s="202" t="s">
        <v>1256</v>
      </c>
      <c r="G592" s="179"/>
      <c r="H592" s="196"/>
      <c r="I592" s="228" t="s">
        <v>1020</v>
      </c>
      <c r="J592" s="205"/>
      <c r="K592" s="206" t="s">
        <v>1512</v>
      </c>
      <c r="L592" s="206"/>
      <c r="M592" s="206"/>
      <c r="N592" s="205"/>
      <c r="O592" s="238" t="s">
        <v>1256</v>
      </c>
      <c r="P592" s="179"/>
      <c r="Q592" s="179"/>
      <c r="R592" s="179"/>
      <c r="S592" s="179"/>
    </row>
    <row r="593" spans="1:19" ht="15.75" thickTop="1" x14ac:dyDescent="0.2">
      <c r="A593" s="185">
        <v>65</v>
      </c>
      <c r="B593" s="175" t="s">
        <v>1513</v>
      </c>
      <c r="C593" s="175" t="s">
        <v>1514</v>
      </c>
      <c r="D593" s="202"/>
      <c r="G593" s="179"/>
      <c r="H593" s="274">
        <v>65</v>
      </c>
      <c r="I593" s="224"/>
      <c r="J593" s="284"/>
      <c r="K593" s="285" t="s">
        <v>1514</v>
      </c>
      <c r="L593" s="284"/>
      <c r="M593" s="284"/>
      <c r="N593" s="284"/>
      <c r="O593" s="226"/>
      <c r="P593" s="179"/>
      <c r="Q593" s="194">
        <f>H593</f>
        <v>65</v>
      </c>
      <c r="R593" s="184" t="str">
        <f>CONCATENATE("II-",TEXT(Q593,"0000"))</f>
        <v>II-0065</v>
      </c>
      <c r="S593" s="195" t="str">
        <f>K593</f>
        <v xml:space="preserve">PUENTE </v>
      </c>
    </row>
    <row r="594" spans="1:19" x14ac:dyDescent="0.2">
      <c r="A594" s="185"/>
      <c r="B594" s="175"/>
      <c r="C594" s="175"/>
      <c r="D594" s="202" t="s">
        <v>1131</v>
      </c>
      <c r="G594" s="179"/>
      <c r="H594" s="345"/>
      <c r="I594" s="331" t="s">
        <v>1020</v>
      </c>
      <c r="J594" s="205"/>
      <c r="K594" s="206" t="s">
        <v>1515</v>
      </c>
      <c r="L594" s="206"/>
      <c r="M594" s="206"/>
      <c r="N594" s="205"/>
      <c r="O594" s="238" t="s">
        <v>1131</v>
      </c>
      <c r="P594" s="179"/>
      <c r="Q594" s="179"/>
      <c r="R594" s="179"/>
      <c r="S594" s="179"/>
    </row>
    <row r="595" spans="1:19" x14ac:dyDescent="0.2">
      <c r="A595" s="185"/>
      <c r="B595" s="175"/>
      <c r="C595" s="175"/>
      <c r="D595" s="202" t="s">
        <v>1131</v>
      </c>
      <c r="G595" s="179"/>
      <c r="H595" s="345"/>
      <c r="I595" s="197" t="s">
        <v>1047</v>
      </c>
      <c r="J595" s="244"/>
      <c r="K595" s="265" t="s">
        <v>1130</v>
      </c>
      <c r="L595" s="265"/>
      <c r="M595" s="265"/>
      <c r="N595" s="244"/>
      <c r="O595" s="279" t="s">
        <v>1131</v>
      </c>
      <c r="P595" s="179"/>
      <c r="Q595" s="179"/>
      <c r="R595" s="179"/>
      <c r="S595" s="179"/>
    </row>
    <row r="596" spans="1:19" x14ac:dyDescent="0.2">
      <c r="A596" s="185"/>
      <c r="B596" s="175"/>
      <c r="C596" s="175"/>
      <c r="D596" s="202" t="s">
        <v>1024</v>
      </c>
      <c r="G596" s="179"/>
      <c r="H596" s="345"/>
      <c r="I596" s="197" t="s">
        <v>1057</v>
      </c>
      <c r="J596" s="244"/>
      <c r="K596" s="265" t="s">
        <v>1134</v>
      </c>
      <c r="L596" s="265"/>
      <c r="M596" s="265"/>
      <c r="N596" s="244"/>
      <c r="O596" s="279" t="s">
        <v>1024</v>
      </c>
      <c r="P596" s="179"/>
      <c r="Q596" s="179"/>
      <c r="R596" s="179"/>
      <c r="S596" s="179"/>
    </row>
    <row r="597" spans="1:19" x14ac:dyDescent="0.2">
      <c r="A597" s="185"/>
      <c r="B597" s="175"/>
      <c r="C597" s="175"/>
      <c r="D597" s="202"/>
      <c r="G597" s="179"/>
      <c r="H597" s="345"/>
      <c r="I597" s="197" t="s">
        <v>1083</v>
      </c>
      <c r="J597" s="200"/>
      <c r="K597" s="206" t="s">
        <v>1516</v>
      </c>
      <c r="L597" s="206"/>
      <c r="M597" s="206"/>
      <c r="N597" s="205"/>
      <c r="O597" s="238"/>
      <c r="P597" s="179"/>
      <c r="Q597" s="179"/>
      <c r="R597" s="179"/>
      <c r="S597" s="179"/>
    </row>
    <row r="598" spans="1:19" x14ac:dyDescent="0.2">
      <c r="A598" s="185"/>
      <c r="B598" s="175"/>
      <c r="C598" s="175"/>
      <c r="D598" s="202" t="s">
        <v>1214</v>
      </c>
      <c r="G598" s="179"/>
      <c r="H598" s="345"/>
      <c r="I598" s="203"/>
      <c r="J598" s="346">
        <v>1</v>
      </c>
      <c r="K598" s="206"/>
      <c r="L598" s="206" t="s">
        <v>1124</v>
      </c>
      <c r="M598" s="206"/>
      <c r="N598" s="205"/>
      <c r="O598" s="238" t="s">
        <v>1214</v>
      </c>
      <c r="P598" s="179"/>
      <c r="Q598" s="179"/>
      <c r="R598" s="179"/>
      <c r="S598" s="179"/>
    </row>
    <row r="599" spans="1:19" ht="15.75" thickBot="1" x14ac:dyDescent="0.25">
      <c r="A599" s="185"/>
      <c r="B599" s="175"/>
      <c r="C599" s="175"/>
      <c r="D599" s="202" t="s">
        <v>1517</v>
      </c>
      <c r="G599" s="179"/>
      <c r="H599" s="347"/>
      <c r="I599" s="217"/>
      <c r="J599" s="348">
        <v>2</v>
      </c>
      <c r="K599" s="220"/>
      <c r="L599" s="220" t="s">
        <v>1518</v>
      </c>
      <c r="M599" s="220"/>
      <c r="N599" s="219"/>
      <c r="O599" s="304" t="s">
        <v>1517</v>
      </c>
      <c r="P599" s="179"/>
      <c r="Q599" s="179"/>
      <c r="R599" s="179"/>
      <c r="S599" s="179"/>
    </row>
    <row r="600" spans="1:19" ht="15.75" thickTop="1" x14ac:dyDescent="0.2">
      <c r="A600" s="185">
        <v>66</v>
      </c>
      <c r="B600" s="175" t="s">
        <v>1519</v>
      </c>
      <c r="C600" s="175" t="s">
        <v>1520</v>
      </c>
      <c r="D600" s="202"/>
      <c r="G600" s="179"/>
      <c r="H600" s="223">
        <v>66</v>
      </c>
      <c r="I600" s="225"/>
      <c r="J600" s="236"/>
      <c r="K600" s="293" t="s">
        <v>1520</v>
      </c>
      <c r="L600" s="236"/>
      <c r="M600" s="236"/>
      <c r="N600" s="236"/>
      <c r="O600" s="247"/>
      <c r="P600" s="179"/>
      <c r="Q600" s="194">
        <f>H600</f>
        <v>66</v>
      </c>
      <c r="R600" s="184" t="str">
        <f>CONCATENATE("II-",TEXT(Q600,"0000"))</f>
        <v>II-0066</v>
      </c>
      <c r="S600" s="195" t="str">
        <f>K600</f>
        <v>PUENTE BAYLEY / FM</v>
      </c>
    </row>
    <row r="601" spans="1:19" x14ac:dyDescent="0.2">
      <c r="A601" s="185"/>
      <c r="B601" s="175"/>
      <c r="C601" s="175"/>
      <c r="D601" s="202" t="s">
        <v>1256</v>
      </c>
      <c r="G601" s="179"/>
      <c r="H601" s="196"/>
      <c r="I601" s="331" t="s">
        <v>1020</v>
      </c>
      <c r="J601" s="205"/>
      <c r="K601" s="206" t="s">
        <v>1521</v>
      </c>
      <c r="L601" s="205"/>
      <c r="M601" s="205"/>
      <c r="N601" s="205"/>
      <c r="O601" s="238" t="s">
        <v>1256</v>
      </c>
      <c r="P601" s="179"/>
      <c r="Q601" s="179"/>
      <c r="R601" s="179"/>
      <c r="S601" s="179"/>
    </row>
    <row r="602" spans="1:19" x14ac:dyDescent="0.2">
      <c r="A602" s="185"/>
      <c r="B602" s="175"/>
      <c r="C602" s="175"/>
      <c r="D602" s="202" t="s">
        <v>1256</v>
      </c>
      <c r="G602" s="179"/>
      <c r="H602" s="196"/>
      <c r="I602" s="197" t="s">
        <v>1047</v>
      </c>
      <c r="J602" s="244"/>
      <c r="K602" s="265" t="s">
        <v>1522</v>
      </c>
      <c r="L602" s="244"/>
      <c r="M602" s="244"/>
      <c r="N602" s="244"/>
      <c r="O602" s="279" t="s">
        <v>1256</v>
      </c>
      <c r="P602" s="179"/>
      <c r="Q602" s="179"/>
      <c r="R602" s="179"/>
      <c r="S602" s="179"/>
    </row>
    <row r="603" spans="1:19" x14ac:dyDescent="0.2">
      <c r="A603" s="185"/>
      <c r="B603" s="175"/>
      <c r="C603" s="175"/>
      <c r="D603" s="202" t="s">
        <v>1256</v>
      </c>
      <c r="G603" s="179"/>
      <c r="H603" s="196"/>
      <c r="I603" s="197" t="s">
        <v>1057</v>
      </c>
      <c r="J603" s="205"/>
      <c r="K603" s="265" t="s">
        <v>1134</v>
      </c>
      <c r="L603" s="244"/>
      <c r="M603" s="244"/>
      <c r="N603" s="244"/>
      <c r="O603" s="279" t="s">
        <v>1256</v>
      </c>
      <c r="P603" s="179"/>
      <c r="Q603" s="179"/>
      <c r="R603" s="179"/>
      <c r="S603" s="179"/>
    </row>
    <row r="604" spans="1:19" x14ac:dyDescent="0.2">
      <c r="A604" s="185"/>
      <c r="B604" s="175"/>
      <c r="C604" s="175"/>
      <c r="D604" s="202"/>
      <c r="G604" s="179"/>
      <c r="H604" s="196"/>
      <c r="I604" s="210" t="s">
        <v>1083</v>
      </c>
      <c r="J604" s="200"/>
      <c r="K604" s="206" t="s">
        <v>1516</v>
      </c>
      <c r="L604" s="206"/>
      <c r="M604" s="206"/>
      <c r="N604" s="205"/>
      <c r="O604" s="238"/>
      <c r="P604" s="179"/>
      <c r="Q604" s="179"/>
      <c r="R604" s="179"/>
      <c r="S604" s="179"/>
    </row>
    <row r="605" spans="1:19" ht="15.75" thickBot="1" x14ac:dyDescent="0.25">
      <c r="A605" s="185"/>
      <c r="B605" s="175"/>
      <c r="C605" s="175"/>
      <c r="D605" s="202" t="s">
        <v>996</v>
      </c>
      <c r="G605" s="179"/>
      <c r="H605" s="196"/>
      <c r="I605" s="203"/>
      <c r="J605" s="346">
        <v>1</v>
      </c>
      <c r="K605" s="206"/>
      <c r="L605" s="206" t="s">
        <v>1124</v>
      </c>
      <c r="M605" s="206"/>
      <c r="N605" s="205"/>
      <c r="O605" s="238" t="s">
        <v>996</v>
      </c>
      <c r="P605" s="179"/>
      <c r="Q605" s="179"/>
      <c r="R605" s="179"/>
      <c r="S605" s="179"/>
    </row>
    <row r="606" spans="1:19" ht="15.75" thickTop="1" x14ac:dyDescent="0.2">
      <c r="A606" s="185">
        <v>67</v>
      </c>
      <c r="B606" s="175" t="s">
        <v>1523</v>
      </c>
      <c r="C606" s="175" t="s">
        <v>1524</v>
      </c>
      <c r="D606" s="202"/>
      <c r="G606" s="179"/>
      <c r="H606" s="274">
        <v>67</v>
      </c>
      <c r="I606" s="224"/>
      <c r="J606" s="284"/>
      <c r="K606" s="285" t="s">
        <v>1524</v>
      </c>
      <c r="L606" s="284"/>
      <c r="M606" s="284"/>
      <c r="N606" s="284"/>
      <c r="O606" s="226"/>
      <c r="P606" s="179"/>
      <c r="Q606" s="194">
        <f>H606</f>
        <v>67</v>
      </c>
      <c r="R606" s="184" t="str">
        <f>CONCATENATE("II-",TEXT(Q606,"0000"))</f>
        <v>II-0067</v>
      </c>
      <c r="S606" s="195" t="str">
        <f>K606</f>
        <v>PUENTE CANAL</v>
      </c>
    </row>
    <row r="607" spans="1:19" ht="15.75" thickBot="1" x14ac:dyDescent="0.25">
      <c r="A607" s="185"/>
      <c r="B607" s="175"/>
      <c r="C607" s="175"/>
      <c r="D607" s="202" t="s">
        <v>1256</v>
      </c>
      <c r="G607" s="179"/>
      <c r="H607" s="227"/>
      <c r="I607" s="228" t="s">
        <v>1020</v>
      </c>
      <c r="J607" s="231"/>
      <c r="K607" s="267" t="s">
        <v>1525</v>
      </c>
      <c r="L607" s="231"/>
      <c r="M607" s="231"/>
      <c r="N607" s="231"/>
      <c r="O607" s="305" t="s">
        <v>1256</v>
      </c>
      <c r="P607" s="179"/>
      <c r="Q607" s="179"/>
      <c r="R607" s="179"/>
      <c r="S607" s="179"/>
    </row>
    <row r="608" spans="1:19" ht="15.75" thickTop="1" x14ac:dyDescent="0.2">
      <c r="A608" s="185">
        <v>68</v>
      </c>
      <c r="B608" s="175" t="s">
        <v>1526</v>
      </c>
      <c r="C608" s="175" t="s">
        <v>1527</v>
      </c>
      <c r="D608" s="202"/>
      <c r="G608" s="179"/>
      <c r="H608" s="223">
        <v>68</v>
      </c>
      <c r="I608" s="225"/>
      <c r="J608" s="236"/>
      <c r="K608" s="293" t="s">
        <v>1527</v>
      </c>
      <c r="L608" s="236"/>
      <c r="M608" s="236"/>
      <c r="N608" s="236"/>
      <c r="O608" s="247"/>
      <c r="P608" s="179"/>
      <c r="Q608" s="194">
        <f>H608</f>
        <v>68</v>
      </c>
      <c r="R608" s="184" t="str">
        <f>CONCATENATE("II-",TEXT(Q608,"0000"))</f>
        <v>II-0068</v>
      </c>
      <c r="S608" s="195" t="str">
        <f>K608</f>
        <v>REACONDICIONAMIENTO</v>
      </c>
    </row>
    <row r="609" spans="1:19" x14ac:dyDescent="0.2">
      <c r="A609" s="185"/>
      <c r="B609" s="175"/>
      <c r="C609" s="175"/>
      <c r="D609" s="202" t="s">
        <v>1256</v>
      </c>
      <c r="G609" s="179"/>
      <c r="H609" s="196"/>
      <c r="I609" s="331" t="s">
        <v>1020</v>
      </c>
      <c r="J609" s="205"/>
      <c r="K609" s="206" t="s">
        <v>1073</v>
      </c>
      <c r="L609" s="205"/>
      <c r="M609" s="205"/>
      <c r="N609" s="205"/>
      <c r="O609" s="238" t="s">
        <v>1256</v>
      </c>
      <c r="P609" s="179"/>
      <c r="Q609" s="179"/>
      <c r="R609" s="179"/>
      <c r="S609" s="179"/>
    </row>
    <row r="610" spans="1:19" x14ac:dyDescent="0.2">
      <c r="A610" s="185"/>
      <c r="B610" s="175"/>
      <c r="C610" s="175"/>
      <c r="D610" s="202" t="s">
        <v>1131</v>
      </c>
      <c r="G610" s="179"/>
      <c r="H610" s="196"/>
      <c r="I610" s="197" t="s">
        <v>1047</v>
      </c>
      <c r="J610" s="244"/>
      <c r="K610" s="265" t="s">
        <v>1528</v>
      </c>
      <c r="L610" s="244"/>
      <c r="M610" s="244"/>
      <c r="N610" s="244"/>
      <c r="O610" s="279" t="s">
        <v>1131</v>
      </c>
      <c r="P610" s="179"/>
      <c r="Q610" s="179"/>
      <c r="R610" s="179"/>
      <c r="S610" s="179"/>
    </row>
    <row r="611" spans="1:19" ht="15.75" thickBot="1" x14ac:dyDescent="0.25">
      <c r="A611" s="185"/>
      <c r="B611" s="175"/>
      <c r="C611" s="175"/>
      <c r="D611" s="202" t="s">
        <v>1256</v>
      </c>
      <c r="G611" s="179"/>
      <c r="H611" s="196"/>
      <c r="I611" s="218" t="s">
        <v>1057</v>
      </c>
      <c r="J611" s="205"/>
      <c r="K611" s="283" t="s">
        <v>1529</v>
      </c>
      <c r="L611" s="205"/>
      <c r="M611" s="205"/>
      <c r="N611" s="205"/>
      <c r="O611" s="238" t="s">
        <v>1256</v>
      </c>
      <c r="P611" s="179"/>
      <c r="Q611" s="179"/>
      <c r="R611" s="179"/>
      <c r="S611" s="179"/>
    </row>
    <row r="612" spans="1:19" ht="15.75" thickTop="1" x14ac:dyDescent="0.2">
      <c r="A612" s="185">
        <v>69</v>
      </c>
      <c r="B612" s="175" t="s">
        <v>1530</v>
      </c>
      <c r="C612" s="175" t="s">
        <v>1531</v>
      </c>
      <c r="D612" s="202"/>
      <c r="G612" s="179"/>
      <c r="H612" s="274">
        <v>69</v>
      </c>
      <c r="I612" s="224"/>
      <c r="J612" s="284"/>
      <c r="K612" s="285" t="s">
        <v>1531</v>
      </c>
      <c r="L612" s="284"/>
      <c r="M612" s="284"/>
      <c r="N612" s="284"/>
      <c r="O612" s="226"/>
      <c r="P612" s="179"/>
      <c r="Q612" s="194">
        <f>H612</f>
        <v>69</v>
      </c>
      <c r="R612" s="184" t="str">
        <f>CONCATENATE("II-",TEXT(Q612,"0000"))</f>
        <v>II-0069</v>
      </c>
      <c r="S612" s="195" t="str">
        <f>K612</f>
        <v>RECICLADO DE PAVIMENTO</v>
      </c>
    </row>
    <row r="613" spans="1:19" x14ac:dyDescent="0.2">
      <c r="A613" s="185"/>
      <c r="B613" s="175"/>
      <c r="C613" s="175"/>
      <c r="D613" s="202" t="s">
        <v>1131</v>
      </c>
      <c r="G613" s="282"/>
      <c r="H613" s="349"/>
      <c r="I613" s="210" t="s">
        <v>1020</v>
      </c>
      <c r="J613" s="244"/>
      <c r="K613" s="265" t="s">
        <v>1532</v>
      </c>
      <c r="L613" s="265"/>
      <c r="M613" s="265"/>
      <c r="N613" s="244"/>
      <c r="O613" s="279" t="s">
        <v>1131</v>
      </c>
      <c r="P613" s="282"/>
      <c r="Q613" s="282"/>
      <c r="R613" s="282"/>
      <c r="S613" s="282"/>
    </row>
    <row r="614" spans="1:19" x14ac:dyDescent="0.2">
      <c r="A614" s="185"/>
      <c r="B614" s="175"/>
      <c r="C614" s="175"/>
      <c r="D614" s="202"/>
      <c r="G614" s="282"/>
      <c r="H614" s="349"/>
      <c r="I614" s="197" t="s">
        <v>1047</v>
      </c>
      <c r="J614" s="203"/>
      <c r="K614" s="206" t="s">
        <v>1533</v>
      </c>
      <c r="L614" s="206"/>
      <c r="M614" s="206"/>
      <c r="N614" s="205"/>
      <c r="O614" s="238"/>
      <c r="P614" s="282"/>
      <c r="Q614" s="282"/>
      <c r="R614" s="282"/>
      <c r="S614" s="282"/>
    </row>
    <row r="615" spans="1:19" x14ac:dyDescent="0.2">
      <c r="A615" s="185"/>
      <c r="B615" s="175"/>
      <c r="C615" s="175"/>
      <c r="D615" s="202" t="s">
        <v>1131</v>
      </c>
      <c r="G615" s="282"/>
      <c r="H615" s="349"/>
      <c r="I615" s="202"/>
      <c r="J615" s="204">
        <v>1</v>
      </c>
      <c r="K615" s="206"/>
      <c r="L615" s="206" t="s">
        <v>1534</v>
      </c>
      <c r="M615" s="205"/>
      <c r="N615" s="205"/>
      <c r="O615" s="238" t="s">
        <v>1131</v>
      </c>
      <c r="P615" s="282"/>
      <c r="Q615" s="282"/>
      <c r="R615" s="282"/>
      <c r="S615" s="282"/>
    </row>
    <row r="616" spans="1:19" ht="15.75" thickBot="1" x14ac:dyDescent="0.25">
      <c r="A616" s="185"/>
      <c r="B616" s="175"/>
      <c r="C616" s="175"/>
      <c r="D616" s="202" t="s">
        <v>1131</v>
      </c>
      <c r="G616" s="282"/>
      <c r="H616" s="350"/>
      <c r="I616" s="300"/>
      <c r="J616" s="218">
        <v>2</v>
      </c>
      <c r="K616" s="220"/>
      <c r="L616" s="220" t="s">
        <v>1535</v>
      </c>
      <c r="M616" s="219"/>
      <c r="N616" s="219"/>
      <c r="O616" s="304" t="s">
        <v>1131</v>
      </c>
      <c r="P616" s="282"/>
      <c r="Q616" s="282"/>
      <c r="R616" s="282"/>
      <c r="S616" s="282"/>
    </row>
    <row r="617" spans="1:19" ht="16.5" thickTop="1" thickBot="1" x14ac:dyDescent="0.25">
      <c r="A617" s="185">
        <v>70</v>
      </c>
      <c r="B617" s="175" t="s">
        <v>1536</v>
      </c>
      <c r="C617" s="175" t="s">
        <v>1537</v>
      </c>
      <c r="D617" s="202" t="s">
        <v>1214</v>
      </c>
      <c r="G617" s="179"/>
      <c r="H617" s="223">
        <v>70</v>
      </c>
      <c r="I617" s="225"/>
      <c r="J617" s="236"/>
      <c r="K617" s="293" t="s">
        <v>1537</v>
      </c>
      <c r="L617" s="236"/>
      <c r="M617" s="236"/>
      <c r="N617" s="236"/>
      <c r="O617" s="247" t="s">
        <v>1214</v>
      </c>
      <c r="P617" s="179"/>
      <c r="Q617" s="194">
        <f t="shared" ref="Q617:Q618" si="60">H617</f>
        <v>70</v>
      </c>
      <c r="R617" s="184" t="str">
        <f t="shared" ref="R617:R618" si="61">CONCATENATE("II-",TEXT(Q617,"0000"))</f>
        <v>II-0070</v>
      </c>
      <c r="S617" s="195" t="str">
        <f t="shared" ref="S617:S618" si="62">K617</f>
        <v>RECLAMADO</v>
      </c>
    </row>
    <row r="618" spans="1:19" ht="15.75" thickTop="1" x14ac:dyDescent="0.2">
      <c r="A618" s="185">
        <v>71</v>
      </c>
      <c r="B618" s="175" t="s">
        <v>1538</v>
      </c>
      <c r="C618" s="175" t="s">
        <v>1539</v>
      </c>
      <c r="D618" s="202"/>
      <c r="G618" s="179"/>
      <c r="H618" s="274">
        <v>71</v>
      </c>
      <c r="I618" s="224"/>
      <c r="J618" s="284"/>
      <c r="K618" s="339" t="s">
        <v>1539</v>
      </c>
      <c r="L618" s="284"/>
      <c r="M618" s="284"/>
      <c r="N618" s="284"/>
      <c r="O618" s="226"/>
      <c r="P618" s="179"/>
      <c r="Q618" s="194">
        <f t="shared" si="60"/>
        <v>71</v>
      </c>
      <c r="R618" s="184" t="str">
        <f t="shared" si="61"/>
        <v>II-0071</v>
      </c>
      <c r="S618" s="195" t="str">
        <f t="shared" si="62"/>
        <v>RECUBRIMIENTO VEGETAL</v>
      </c>
    </row>
    <row r="619" spans="1:19" x14ac:dyDescent="0.2">
      <c r="A619" s="185"/>
      <c r="B619" s="175"/>
      <c r="C619" s="175"/>
      <c r="D619" s="202" t="s">
        <v>1214</v>
      </c>
      <c r="G619" s="179"/>
      <c r="H619" s="196"/>
      <c r="I619" s="197" t="s">
        <v>1020</v>
      </c>
      <c r="J619" s="244"/>
      <c r="K619" s="265" t="s">
        <v>1320</v>
      </c>
      <c r="L619" s="265"/>
      <c r="M619" s="265"/>
      <c r="N619" s="244"/>
      <c r="O619" s="279" t="s">
        <v>1214</v>
      </c>
      <c r="P619" s="179"/>
      <c r="Q619" s="179"/>
      <c r="R619" s="179"/>
      <c r="S619" s="179"/>
    </row>
    <row r="620" spans="1:19" ht="15.75" thickBot="1" x14ac:dyDescent="0.25">
      <c r="A620" s="185"/>
      <c r="B620" s="175"/>
      <c r="C620" s="175"/>
      <c r="D620" s="202" t="s">
        <v>997</v>
      </c>
      <c r="G620" s="179"/>
      <c r="H620" s="196"/>
      <c r="I620" s="218" t="s">
        <v>1047</v>
      </c>
      <c r="J620" s="205"/>
      <c r="K620" s="220" t="s">
        <v>1322</v>
      </c>
      <c r="L620" s="206"/>
      <c r="M620" s="206"/>
      <c r="N620" s="205"/>
      <c r="O620" s="238" t="s">
        <v>997</v>
      </c>
      <c r="P620" s="179"/>
      <c r="Q620" s="179"/>
      <c r="R620" s="179"/>
      <c r="S620" s="179"/>
    </row>
    <row r="621" spans="1:19" ht="16.5" thickTop="1" thickBot="1" x14ac:dyDescent="0.25">
      <c r="A621" s="185">
        <v>72</v>
      </c>
      <c r="B621" s="175" t="s">
        <v>1540</v>
      </c>
      <c r="C621" s="175" t="s">
        <v>1541</v>
      </c>
      <c r="D621" s="202" t="s">
        <v>5</v>
      </c>
      <c r="G621" s="179"/>
      <c r="H621" s="286">
        <v>72</v>
      </c>
      <c r="I621" s="287"/>
      <c r="J621" s="288"/>
      <c r="K621" s="289" t="s">
        <v>1541</v>
      </c>
      <c r="L621" s="288"/>
      <c r="M621" s="288"/>
      <c r="N621" s="288"/>
      <c r="O621" s="290" t="s">
        <v>5</v>
      </c>
      <c r="P621" s="179"/>
      <c r="Q621" s="194">
        <f>H621</f>
        <v>72</v>
      </c>
      <c r="R621" s="184" t="str">
        <f>CONCATENATE("II-",TEXT(Q621,"0000"))</f>
        <v>II-0072</v>
      </c>
      <c r="S621" s="195" t="str">
        <f>K621</f>
        <v>RESTITUCION DE GALIVO</v>
      </c>
    </row>
    <row r="622" spans="1:19" x14ac:dyDescent="0.2">
      <c r="A622" s="185"/>
      <c r="B622" s="175"/>
      <c r="C622" s="175"/>
      <c r="D622" s="202"/>
      <c r="G622" s="282"/>
      <c r="H622" s="291"/>
      <c r="I622" s="202"/>
      <c r="J622" s="282"/>
      <c r="K622" s="283"/>
      <c r="L622" s="282"/>
      <c r="M622" s="282"/>
      <c r="N622" s="282"/>
      <c r="O622" s="292"/>
      <c r="P622" s="282"/>
      <c r="Q622" s="282"/>
      <c r="R622" s="282"/>
      <c r="S622" s="282"/>
    </row>
    <row r="623" spans="1:19" x14ac:dyDescent="0.2">
      <c r="A623" s="185"/>
      <c r="B623" s="175"/>
      <c r="C623" s="175"/>
      <c r="D623" s="202"/>
      <c r="G623" s="282"/>
      <c r="H623" s="291"/>
      <c r="I623" s="202"/>
      <c r="J623" s="282"/>
      <c r="K623" s="283"/>
      <c r="L623" s="282"/>
      <c r="M623" s="282"/>
      <c r="N623" s="282"/>
      <c r="O623" s="292"/>
      <c r="P623" s="282"/>
      <c r="Q623" s="282"/>
      <c r="R623" s="282"/>
      <c r="S623" s="282"/>
    </row>
    <row r="624" spans="1:19" x14ac:dyDescent="0.2">
      <c r="A624" s="185"/>
      <c r="B624" s="175"/>
      <c r="C624" s="175"/>
      <c r="D624" s="202"/>
      <c r="G624" s="179"/>
      <c r="H624" s="223">
        <v>73</v>
      </c>
      <c r="I624" s="225"/>
      <c r="J624" s="236"/>
      <c r="K624" s="293" t="s">
        <v>1542</v>
      </c>
      <c r="L624" s="236"/>
      <c r="M624" s="236"/>
      <c r="N624" s="236"/>
      <c r="O624" s="247"/>
      <c r="P624" s="179"/>
      <c r="Q624" s="179"/>
      <c r="R624" s="179"/>
      <c r="S624" s="179"/>
    </row>
    <row r="625" spans="1:19" x14ac:dyDescent="0.2">
      <c r="A625" s="185"/>
      <c r="B625" s="175"/>
      <c r="C625" s="175"/>
      <c r="D625" s="202"/>
      <c r="G625" s="258"/>
      <c r="H625" s="349"/>
      <c r="I625" s="197" t="s">
        <v>1020</v>
      </c>
      <c r="J625" s="200"/>
      <c r="K625" s="206" t="s">
        <v>1497</v>
      </c>
      <c r="L625" s="206"/>
      <c r="M625" s="206"/>
      <c r="N625" s="205"/>
      <c r="O625" s="238"/>
      <c r="P625" s="258"/>
      <c r="Q625" s="258"/>
      <c r="R625" s="258"/>
      <c r="S625" s="258"/>
    </row>
    <row r="626" spans="1:19" x14ac:dyDescent="0.2">
      <c r="A626" s="185"/>
      <c r="B626" s="175"/>
      <c r="C626" s="175"/>
      <c r="D626" s="202" t="s">
        <v>1214</v>
      </c>
      <c r="G626" s="258"/>
      <c r="H626" s="349"/>
      <c r="I626" s="203"/>
      <c r="J626" s="204">
        <v>1</v>
      </c>
      <c r="K626" s="206"/>
      <c r="L626" s="206" t="s">
        <v>1325</v>
      </c>
      <c r="M626" s="206"/>
      <c r="N626" s="205"/>
      <c r="O626" s="238" t="s">
        <v>1214</v>
      </c>
      <c r="P626" s="258"/>
      <c r="Q626" s="258"/>
      <c r="R626" s="258"/>
      <c r="S626" s="258"/>
    </row>
    <row r="627" spans="1:19" x14ac:dyDescent="0.2">
      <c r="A627" s="185"/>
      <c r="B627" s="175"/>
      <c r="C627" s="175"/>
      <c r="D627" s="202" t="s">
        <v>1214</v>
      </c>
      <c r="G627" s="258"/>
      <c r="H627" s="349"/>
      <c r="I627" s="202"/>
      <c r="J627" s="204">
        <v>2</v>
      </c>
      <c r="K627" s="206"/>
      <c r="L627" s="206" t="s">
        <v>1543</v>
      </c>
      <c r="M627" s="205"/>
      <c r="N627" s="205"/>
      <c r="O627" s="238" t="s">
        <v>1214</v>
      </c>
      <c r="P627" s="258"/>
      <c r="Q627" s="258"/>
      <c r="R627" s="258"/>
      <c r="S627" s="258"/>
    </row>
    <row r="628" spans="1:19" x14ac:dyDescent="0.2">
      <c r="A628" s="185"/>
      <c r="B628" s="175"/>
      <c r="C628" s="175"/>
      <c r="D628" s="202" t="s">
        <v>1214</v>
      </c>
      <c r="G628" s="258"/>
      <c r="H628" s="349"/>
      <c r="I628" s="202"/>
      <c r="J628" s="204">
        <v>3</v>
      </c>
      <c r="K628" s="206"/>
      <c r="L628" s="206" t="s">
        <v>1544</v>
      </c>
      <c r="M628" s="205"/>
      <c r="N628" s="205"/>
      <c r="O628" s="238" t="s">
        <v>1214</v>
      </c>
      <c r="P628" s="258"/>
      <c r="Q628" s="258"/>
      <c r="R628" s="258"/>
      <c r="S628" s="258"/>
    </row>
    <row r="629" spans="1:19" x14ac:dyDescent="0.2">
      <c r="A629" s="185"/>
      <c r="B629" s="175"/>
      <c r="C629" s="175"/>
      <c r="D629" s="202" t="s">
        <v>1214</v>
      </c>
      <c r="G629" s="258"/>
      <c r="H629" s="349"/>
      <c r="I629" s="202"/>
      <c r="J629" s="294">
        <v>4</v>
      </c>
      <c r="K629" s="206"/>
      <c r="L629" s="206" t="s">
        <v>1545</v>
      </c>
      <c r="M629" s="205"/>
      <c r="N629" s="205"/>
      <c r="O629" s="238" t="s">
        <v>1214</v>
      </c>
      <c r="P629" s="258"/>
      <c r="Q629" s="258"/>
      <c r="R629" s="258"/>
      <c r="S629" s="258"/>
    </row>
    <row r="630" spans="1:19" x14ac:dyDescent="0.2">
      <c r="A630" s="185"/>
      <c r="B630" s="175"/>
      <c r="C630" s="175"/>
      <c r="D630" s="202" t="s">
        <v>1214</v>
      </c>
      <c r="G630" s="258"/>
      <c r="H630" s="349"/>
      <c r="I630" s="202"/>
      <c r="J630" s="294">
        <v>5</v>
      </c>
      <c r="K630" s="206"/>
      <c r="L630" s="206" t="s">
        <v>1546</v>
      </c>
      <c r="M630" s="205"/>
      <c r="N630" s="205"/>
      <c r="O630" s="238" t="s">
        <v>1214</v>
      </c>
      <c r="P630" s="258"/>
      <c r="Q630" s="258"/>
      <c r="R630" s="258"/>
      <c r="S630" s="258"/>
    </row>
    <row r="631" spans="1:19" x14ac:dyDescent="0.2">
      <c r="A631" s="185"/>
      <c r="B631" s="175"/>
      <c r="C631" s="175"/>
      <c r="D631" s="202" t="s">
        <v>1214</v>
      </c>
      <c r="G631" s="179"/>
      <c r="H631" s="345"/>
      <c r="I631" s="197" t="s">
        <v>1047</v>
      </c>
      <c r="J631" s="244"/>
      <c r="K631" s="265" t="s">
        <v>1319</v>
      </c>
      <c r="L631" s="244"/>
      <c r="M631" s="244"/>
      <c r="N631" s="244"/>
      <c r="O631" s="279" t="s">
        <v>1214</v>
      </c>
      <c r="P631" s="179"/>
      <c r="Q631" s="206"/>
      <c r="R631" s="179"/>
      <c r="S631" s="179"/>
    </row>
    <row r="632" spans="1:19" x14ac:dyDescent="0.2">
      <c r="A632" s="185"/>
      <c r="B632" s="175"/>
      <c r="C632" s="175"/>
      <c r="D632" s="202"/>
      <c r="G632" s="179"/>
      <c r="H632" s="345"/>
      <c r="I632" s="197" t="s">
        <v>1057</v>
      </c>
      <c r="J632" s="203"/>
      <c r="K632" s="206" t="s">
        <v>1340</v>
      </c>
      <c r="L632" s="206"/>
      <c r="M632" s="205"/>
      <c r="N632" s="205"/>
      <c r="O632" s="238"/>
      <c r="P632" s="179"/>
      <c r="Q632" s="179"/>
      <c r="R632" s="179"/>
      <c r="S632" s="179"/>
    </row>
    <row r="633" spans="1:19" x14ac:dyDescent="0.2">
      <c r="A633" s="185"/>
      <c r="B633" s="175"/>
      <c r="C633" s="175"/>
      <c r="D633" s="202" t="s">
        <v>1214</v>
      </c>
      <c r="G633" s="179"/>
      <c r="H633" s="345"/>
      <c r="I633" s="203"/>
      <c r="J633" s="204">
        <v>1</v>
      </c>
      <c r="K633" s="206"/>
      <c r="L633" s="206" t="s">
        <v>1325</v>
      </c>
      <c r="M633" s="205"/>
      <c r="N633" s="205"/>
      <c r="O633" s="238" t="s">
        <v>1214</v>
      </c>
      <c r="P633" s="179"/>
      <c r="Q633" s="179"/>
      <c r="R633" s="179"/>
      <c r="S633" s="179"/>
    </row>
    <row r="634" spans="1:19" x14ac:dyDescent="0.2">
      <c r="A634" s="185"/>
      <c r="B634" s="175"/>
      <c r="C634" s="175"/>
      <c r="D634" s="202" t="s">
        <v>1214</v>
      </c>
      <c r="G634" s="179"/>
      <c r="H634" s="345"/>
      <c r="I634" s="203"/>
      <c r="J634" s="204">
        <v>2</v>
      </c>
      <c r="K634" s="206"/>
      <c r="L634" s="206" t="s">
        <v>1543</v>
      </c>
      <c r="M634" s="205"/>
      <c r="N634" s="205"/>
      <c r="O634" s="238" t="s">
        <v>1214</v>
      </c>
      <c r="P634" s="179"/>
      <c r="Q634" s="179"/>
      <c r="R634" s="179"/>
      <c r="S634" s="179"/>
    </row>
    <row r="635" spans="1:19" x14ac:dyDescent="0.2">
      <c r="A635" s="185"/>
      <c r="B635" s="175"/>
      <c r="C635" s="175"/>
      <c r="D635" s="202" t="s">
        <v>1214</v>
      </c>
      <c r="G635" s="179"/>
      <c r="H635" s="345"/>
      <c r="I635" s="203"/>
      <c r="J635" s="204">
        <v>3</v>
      </c>
      <c r="K635" s="206"/>
      <c r="L635" s="206" t="s">
        <v>1544</v>
      </c>
      <c r="M635" s="205"/>
      <c r="N635" s="205"/>
      <c r="O635" s="238" t="s">
        <v>1214</v>
      </c>
      <c r="P635" s="179"/>
      <c r="Q635" s="179"/>
      <c r="R635" s="179"/>
      <c r="S635" s="179"/>
    </row>
    <row r="636" spans="1:19" x14ac:dyDescent="0.2">
      <c r="A636" s="185"/>
      <c r="B636" s="175"/>
      <c r="C636" s="175"/>
      <c r="D636" s="202" t="s">
        <v>1214</v>
      </c>
      <c r="G636" s="179"/>
      <c r="H636" s="345"/>
      <c r="I636" s="203"/>
      <c r="J636" s="294">
        <v>4</v>
      </c>
      <c r="K636" s="206"/>
      <c r="L636" s="206" t="s">
        <v>1545</v>
      </c>
      <c r="M636" s="205"/>
      <c r="N636" s="205"/>
      <c r="O636" s="238" t="s">
        <v>1214</v>
      </c>
      <c r="P636" s="179"/>
      <c r="Q636" s="179"/>
      <c r="R636" s="179"/>
      <c r="S636" s="179"/>
    </row>
    <row r="637" spans="1:19" x14ac:dyDescent="0.2">
      <c r="A637" s="185"/>
      <c r="B637" s="175"/>
      <c r="C637" s="175"/>
      <c r="D637" s="202" t="s">
        <v>1214</v>
      </c>
      <c r="G637" s="179"/>
      <c r="H637" s="345"/>
      <c r="I637" s="256"/>
      <c r="J637" s="295">
        <v>5</v>
      </c>
      <c r="K637" s="212"/>
      <c r="L637" s="212" t="s">
        <v>1546</v>
      </c>
      <c r="M637" s="211"/>
      <c r="N637" s="211"/>
      <c r="O637" s="257" t="s">
        <v>1214</v>
      </c>
      <c r="P637" s="179"/>
      <c r="Q637" s="179"/>
      <c r="R637" s="179"/>
      <c r="S637" s="179"/>
    </row>
    <row r="638" spans="1:19" ht="15.75" thickBot="1" x14ac:dyDescent="0.25">
      <c r="A638" s="185"/>
      <c r="B638" s="175"/>
      <c r="C638" s="175"/>
      <c r="D638" s="202" t="s">
        <v>1214</v>
      </c>
      <c r="G638" s="179"/>
      <c r="H638" s="345"/>
      <c r="I638" s="218" t="s">
        <v>1083</v>
      </c>
      <c r="J638" s="202"/>
      <c r="K638" s="206" t="s">
        <v>1322</v>
      </c>
      <c r="L638" s="206"/>
      <c r="M638" s="205"/>
      <c r="N638" s="205"/>
      <c r="O638" s="238" t="s">
        <v>1214</v>
      </c>
      <c r="P638" s="179"/>
      <c r="Q638" s="179"/>
      <c r="R638" s="179"/>
      <c r="S638" s="179"/>
    </row>
    <row r="639" spans="1:19" ht="15.75" thickTop="1" x14ac:dyDescent="0.2">
      <c r="A639" s="185">
        <v>74</v>
      </c>
      <c r="B639" s="175" t="s">
        <v>1547</v>
      </c>
      <c r="C639" s="175" t="s">
        <v>1548</v>
      </c>
      <c r="D639" s="202"/>
      <c r="G639" s="179"/>
      <c r="H639" s="274">
        <v>74</v>
      </c>
      <c r="I639" s="224"/>
      <c r="J639" s="284"/>
      <c r="K639" s="285" t="s">
        <v>1548</v>
      </c>
      <c r="L639" s="284"/>
      <c r="M639" s="284"/>
      <c r="N639" s="284"/>
      <c r="O639" s="226"/>
      <c r="P639" s="179"/>
      <c r="Q639" s="194">
        <f>H639</f>
        <v>74</v>
      </c>
      <c r="R639" s="184" t="str">
        <f>CONCATENATE("II-",TEXT(Q639,"0000"))</f>
        <v>II-0074</v>
      </c>
      <c r="S639" s="195" t="str">
        <f>K639</f>
        <v>RIEGO</v>
      </c>
    </row>
    <row r="640" spans="1:19" x14ac:dyDescent="0.2">
      <c r="A640" s="185"/>
      <c r="B640" s="175"/>
      <c r="C640" s="175"/>
      <c r="D640" s="202" t="s">
        <v>1214</v>
      </c>
      <c r="G640" s="179"/>
      <c r="H640" s="196"/>
      <c r="I640" s="197" t="s">
        <v>1020</v>
      </c>
      <c r="J640" s="244"/>
      <c r="K640" s="265" t="s">
        <v>1549</v>
      </c>
      <c r="L640" s="244"/>
      <c r="M640" s="244"/>
      <c r="N640" s="244"/>
      <c r="O640" s="279" t="s">
        <v>1214</v>
      </c>
      <c r="P640" s="179"/>
      <c r="Q640" s="179"/>
      <c r="R640" s="179"/>
      <c r="S640" s="179"/>
    </row>
    <row r="641" spans="1:19" ht="15.75" thickBot="1" x14ac:dyDescent="0.25">
      <c r="A641" s="185"/>
      <c r="B641" s="175"/>
      <c r="C641" s="175"/>
      <c r="D641" s="202" t="s">
        <v>1214</v>
      </c>
      <c r="G641" s="179"/>
      <c r="H641" s="216"/>
      <c r="I641" s="218" t="s">
        <v>1047</v>
      </c>
      <c r="J641" s="219"/>
      <c r="K641" s="220" t="s">
        <v>1550</v>
      </c>
      <c r="L641" s="219"/>
      <c r="M641" s="219"/>
      <c r="N641" s="219"/>
      <c r="O641" s="304" t="s">
        <v>1214</v>
      </c>
      <c r="P641" s="179"/>
      <c r="Q641" s="179"/>
      <c r="R641" s="179"/>
      <c r="S641" s="179"/>
    </row>
    <row r="642" spans="1:19" ht="15.75" thickTop="1" x14ac:dyDescent="0.2">
      <c r="A642" s="185">
        <v>75</v>
      </c>
      <c r="B642" s="175" t="s">
        <v>1551</v>
      </c>
      <c r="C642" s="175" t="s">
        <v>1552</v>
      </c>
      <c r="D642" s="202"/>
      <c r="G642" s="258"/>
      <c r="H642" s="223">
        <v>75</v>
      </c>
      <c r="I642" s="225"/>
      <c r="J642" s="236"/>
      <c r="K642" s="293" t="s">
        <v>1552</v>
      </c>
      <c r="L642" s="236"/>
      <c r="M642" s="236"/>
      <c r="N642" s="236"/>
      <c r="O642" s="247"/>
      <c r="P642" s="179"/>
      <c r="Q642" s="194">
        <f>H642</f>
        <v>75</v>
      </c>
      <c r="R642" s="184" t="str">
        <f>CONCATENATE("II-",TEXT(Q642,"0000"))</f>
        <v>II-0075</v>
      </c>
      <c r="S642" s="195" t="str">
        <f>K642</f>
        <v>SALTO</v>
      </c>
    </row>
    <row r="643" spans="1:19" x14ac:dyDescent="0.2">
      <c r="A643" s="185"/>
      <c r="B643" s="175"/>
      <c r="C643" s="175"/>
      <c r="D643" s="202" t="s">
        <v>1256</v>
      </c>
      <c r="G643" s="179"/>
      <c r="H643" s="196"/>
      <c r="I643" s="197" t="s">
        <v>1020</v>
      </c>
      <c r="J643" s="244"/>
      <c r="K643" s="265" t="s">
        <v>1553</v>
      </c>
      <c r="L643" s="244"/>
      <c r="M643" s="244"/>
      <c r="N643" s="244"/>
      <c r="O643" s="279" t="s">
        <v>1256</v>
      </c>
      <c r="P643" s="179"/>
      <c r="Q643" s="179"/>
      <c r="R643" s="179"/>
      <c r="S643" s="179"/>
    </row>
    <row r="644" spans="1:19" ht="15.75" thickBot="1" x14ac:dyDescent="0.25">
      <c r="A644" s="185"/>
      <c r="B644" s="175"/>
      <c r="C644" s="175"/>
      <c r="D644" s="202" t="s">
        <v>1256</v>
      </c>
      <c r="G644" s="179"/>
      <c r="H644" s="196"/>
      <c r="I644" s="218" t="s">
        <v>1047</v>
      </c>
      <c r="J644" s="205"/>
      <c r="K644" s="206" t="s">
        <v>1252</v>
      </c>
      <c r="L644" s="205"/>
      <c r="M644" s="205"/>
      <c r="N644" s="205"/>
      <c r="O644" s="238" t="s">
        <v>1256</v>
      </c>
      <c r="P644" s="179"/>
      <c r="Q644" s="179"/>
      <c r="R644" s="179"/>
      <c r="S644" s="179"/>
    </row>
    <row r="645" spans="1:19" ht="16.5" thickTop="1" thickBot="1" x14ac:dyDescent="0.25">
      <c r="A645" s="185">
        <v>76</v>
      </c>
      <c r="B645" s="175" t="s">
        <v>1554</v>
      </c>
      <c r="C645" s="175" t="s">
        <v>1555</v>
      </c>
      <c r="D645" s="202" t="s">
        <v>714</v>
      </c>
      <c r="G645" s="179"/>
      <c r="H645" s="274">
        <v>76</v>
      </c>
      <c r="I645" s="224"/>
      <c r="J645" s="284"/>
      <c r="K645" s="285" t="s">
        <v>1555</v>
      </c>
      <c r="L645" s="284"/>
      <c r="M645" s="284"/>
      <c r="N645" s="284"/>
      <c r="O645" s="226" t="s">
        <v>714</v>
      </c>
      <c r="P645" s="179"/>
      <c r="Q645" s="194">
        <f t="shared" ref="Q645:Q646" si="63">H645</f>
        <v>76</v>
      </c>
      <c r="R645" s="184" t="str">
        <f t="shared" ref="R645:R646" si="64">CONCATENATE("II-",TEXT(Q645,"0000"))</f>
        <v>II-0076</v>
      </c>
      <c r="S645" s="195" t="str">
        <f t="shared" ref="S645:S646" si="65">K645</f>
        <v>SELLADO DE FISURA</v>
      </c>
    </row>
    <row r="646" spans="1:19" ht="15.75" thickTop="1" x14ac:dyDescent="0.2">
      <c r="A646" s="185">
        <v>77</v>
      </c>
      <c r="B646" s="175" t="s">
        <v>1556</v>
      </c>
      <c r="C646" s="175" t="s">
        <v>1557</v>
      </c>
      <c r="D646" s="202"/>
      <c r="G646" s="179"/>
      <c r="H646" s="274">
        <v>77</v>
      </c>
      <c r="I646" s="224"/>
      <c r="J646" s="284"/>
      <c r="K646" s="285" t="s">
        <v>1557</v>
      </c>
      <c r="L646" s="284"/>
      <c r="M646" s="284"/>
      <c r="N646" s="284"/>
      <c r="O646" s="226"/>
      <c r="P646" s="179"/>
      <c r="Q646" s="194">
        <f t="shared" si="63"/>
        <v>77</v>
      </c>
      <c r="R646" s="184" t="str">
        <f t="shared" si="64"/>
        <v>II-0077</v>
      </c>
      <c r="S646" s="195" t="str">
        <f t="shared" si="65"/>
        <v>SIFON</v>
      </c>
    </row>
    <row r="647" spans="1:19" ht="15.75" thickBot="1" x14ac:dyDescent="0.25">
      <c r="A647" s="185"/>
      <c r="B647" s="175"/>
      <c r="C647" s="175"/>
      <c r="D647" s="202" t="s">
        <v>5</v>
      </c>
      <c r="G647" s="179"/>
      <c r="H647" s="196"/>
      <c r="I647" s="228" t="s">
        <v>1020</v>
      </c>
      <c r="J647" s="205"/>
      <c r="K647" s="206" t="s">
        <v>1558</v>
      </c>
      <c r="L647" s="205"/>
      <c r="M647" s="205"/>
      <c r="N647" s="205"/>
      <c r="O647" s="238" t="s">
        <v>5</v>
      </c>
      <c r="P647" s="179"/>
      <c r="Q647" s="179"/>
      <c r="R647" s="179"/>
      <c r="S647" s="179"/>
    </row>
    <row r="648" spans="1:19" ht="15.75" thickTop="1" x14ac:dyDescent="0.2">
      <c r="A648" s="185">
        <v>78</v>
      </c>
      <c r="B648" s="175" t="s">
        <v>1559</v>
      </c>
      <c r="C648" s="175" t="s">
        <v>1560</v>
      </c>
      <c r="D648" s="202"/>
      <c r="G648" s="258"/>
      <c r="H648" s="274">
        <v>78</v>
      </c>
      <c r="I648" s="224"/>
      <c r="J648" s="284"/>
      <c r="K648" s="285" t="s">
        <v>1560</v>
      </c>
      <c r="L648" s="284"/>
      <c r="M648" s="284"/>
      <c r="N648" s="284"/>
      <c r="O648" s="226"/>
      <c r="P648" s="179"/>
      <c r="Q648" s="194">
        <f>H648</f>
        <v>78</v>
      </c>
      <c r="R648" s="184" t="str">
        <f>CONCATENATE("II-",TEXT(Q648,"0000"))</f>
        <v>II-0078</v>
      </c>
      <c r="S648" s="195" t="str">
        <f>K648</f>
        <v>SUB BASE</v>
      </c>
    </row>
    <row r="649" spans="1:19" x14ac:dyDescent="0.2">
      <c r="A649" s="185"/>
      <c r="B649" s="175"/>
      <c r="C649" s="175"/>
      <c r="D649" s="202" t="s">
        <v>1131</v>
      </c>
      <c r="G649" s="258"/>
      <c r="H649" s="280"/>
      <c r="I649" s="351" t="s">
        <v>1020</v>
      </c>
      <c r="J649" s="282"/>
      <c r="K649" s="283" t="s">
        <v>1279</v>
      </c>
      <c r="L649" s="282"/>
      <c r="M649" s="282"/>
      <c r="N649" s="282"/>
      <c r="O649" s="269" t="s">
        <v>1131</v>
      </c>
      <c r="P649" s="258"/>
      <c r="Q649" s="258"/>
      <c r="R649" s="258"/>
      <c r="S649" s="258"/>
    </row>
    <row r="650" spans="1:19" x14ac:dyDescent="0.2">
      <c r="A650" s="185"/>
      <c r="B650" s="175"/>
      <c r="C650" s="175"/>
      <c r="D650" s="202" t="s">
        <v>1131</v>
      </c>
      <c r="G650" s="179"/>
      <c r="H650" s="196"/>
      <c r="I650" s="197" t="s">
        <v>1047</v>
      </c>
      <c r="J650" s="332"/>
      <c r="K650" s="265" t="s">
        <v>1389</v>
      </c>
      <c r="L650" s="265"/>
      <c r="M650" s="244"/>
      <c r="N650" s="244"/>
      <c r="O650" s="279" t="s">
        <v>1131</v>
      </c>
      <c r="P650" s="179"/>
      <c r="Q650" s="179"/>
      <c r="R650" s="179"/>
      <c r="S650" s="179"/>
    </row>
    <row r="651" spans="1:19" x14ac:dyDescent="0.2">
      <c r="A651" s="185"/>
      <c r="B651" s="175"/>
      <c r="C651" s="175"/>
      <c r="D651" s="202"/>
      <c r="G651" s="179"/>
      <c r="H651" s="196"/>
      <c r="I651" s="210" t="s">
        <v>1057</v>
      </c>
      <c r="J651" s="203"/>
      <c r="K651" s="206" t="s">
        <v>1276</v>
      </c>
      <c r="L651" s="206"/>
      <c r="M651" s="205"/>
      <c r="N651" s="205"/>
      <c r="O651" s="238"/>
      <c r="P651" s="179"/>
      <c r="Q651" s="179"/>
      <c r="R651" s="179"/>
      <c r="S651" s="179"/>
    </row>
    <row r="652" spans="1:19" x14ac:dyDescent="0.2">
      <c r="A652" s="185"/>
      <c r="B652" s="175"/>
      <c r="C652" s="175"/>
      <c r="D652" s="202" t="s">
        <v>1131</v>
      </c>
      <c r="G652" s="179"/>
      <c r="H652" s="196"/>
      <c r="I652" s="203"/>
      <c r="J652" s="204">
        <v>1</v>
      </c>
      <c r="K652" s="206"/>
      <c r="L652" s="206" t="s">
        <v>1561</v>
      </c>
      <c r="M652" s="205"/>
      <c r="N652" s="205"/>
      <c r="O652" s="238" t="s">
        <v>1131</v>
      </c>
      <c r="P652" s="179"/>
      <c r="Q652" s="179"/>
      <c r="R652" s="179"/>
      <c r="S652" s="179"/>
    </row>
    <row r="653" spans="1:19" x14ac:dyDescent="0.2">
      <c r="A653" s="185"/>
      <c r="B653" s="175"/>
      <c r="C653" s="175"/>
      <c r="D653" s="202" t="s">
        <v>1131</v>
      </c>
      <c r="G653" s="179"/>
      <c r="H653" s="196"/>
      <c r="I653" s="203"/>
      <c r="J653" s="204">
        <v>2</v>
      </c>
      <c r="K653" s="206"/>
      <c r="L653" s="206" t="s">
        <v>1562</v>
      </c>
      <c r="M653" s="205"/>
      <c r="N653" s="205"/>
      <c r="O653" s="238" t="s">
        <v>1131</v>
      </c>
      <c r="P653" s="179"/>
      <c r="Q653" s="179"/>
      <c r="R653" s="179"/>
      <c r="S653" s="179"/>
    </row>
    <row r="654" spans="1:19" x14ac:dyDescent="0.2">
      <c r="A654" s="185"/>
      <c r="B654" s="175"/>
      <c r="C654" s="175"/>
      <c r="D654" s="202" t="s">
        <v>1131</v>
      </c>
      <c r="G654" s="179"/>
      <c r="H654" s="196"/>
      <c r="I654" s="203"/>
      <c r="J654" s="210">
        <v>3</v>
      </c>
      <c r="K654" s="205"/>
      <c r="L654" s="206" t="s">
        <v>1276</v>
      </c>
      <c r="M654" s="205"/>
      <c r="N654" s="205"/>
      <c r="O654" s="238" t="s">
        <v>1131</v>
      </c>
      <c r="P654" s="179"/>
      <c r="Q654" s="179"/>
      <c r="R654" s="179"/>
      <c r="S654" s="179"/>
    </row>
    <row r="655" spans="1:19" x14ac:dyDescent="0.2">
      <c r="A655" s="185"/>
      <c r="B655" s="175"/>
      <c r="C655" s="175"/>
      <c r="D655" s="202" t="s">
        <v>1131</v>
      </c>
      <c r="G655" s="179"/>
      <c r="H655" s="196"/>
      <c r="I655" s="197" t="s">
        <v>1083</v>
      </c>
      <c r="J655" s="332"/>
      <c r="K655" s="265" t="s">
        <v>1215</v>
      </c>
      <c r="L655" s="265"/>
      <c r="M655" s="244"/>
      <c r="N655" s="244"/>
      <c r="O655" s="279" t="s">
        <v>1131</v>
      </c>
      <c r="P655" s="179"/>
      <c r="Q655" s="179"/>
      <c r="R655" s="179"/>
      <c r="S655" s="179"/>
    </row>
    <row r="656" spans="1:19" x14ac:dyDescent="0.2">
      <c r="A656" s="185"/>
      <c r="B656" s="175"/>
      <c r="C656" s="175"/>
      <c r="D656" s="202" t="s">
        <v>1131</v>
      </c>
      <c r="G656" s="179"/>
      <c r="H656" s="196"/>
      <c r="I656" s="204" t="s">
        <v>1125</v>
      </c>
      <c r="J656" s="203"/>
      <c r="K656" s="206" t="s">
        <v>1218</v>
      </c>
      <c r="L656" s="206"/>
      <c r="M656" s="205"/>
      <c r="N656" s="205"/>
      <c r="O656" s="238" t="s">
        <v>1131</v>
      </c>
      <c r="P656" s="179"/>
      <c r="Q656" s="179"/>
      <c r="R656" s="179"/>
      <c r="S656" s="179"/>
    </row>
    <row r="657" spans="1:19" x14ac:dyDescent="0.2">
      <c r="A657" s="185"/>
      <c r="B657" s="175"/>
      <c r="C657" s="175"/>
      <c r="D657" s="202" t="s">
        <v>1131</v>
      </c>
      <c r="G657" s="179"/>
      <c r="H657" s="196"/>
      <c r="I657" s="197" t="s">
        <v>1128</v>
      </c>
      <c r="J657" s="332"/>
      <c r="K657" s="311" t="s">
        <v>1280</v>
      </c>
      <c r="L657" s="265"/>
      <c r="M657" s="244"/>
      <c r="N657" s="244"/>
      <c r="O657" s="279" t="s">
        <v>1131</v>
      </c>
      <c r="P657" s="179"/>
      <c r="Q657" s="179"/>
      <c r="R657" s="179"/>
      <c r="S657" s="179"/>
    </row>
    <row r="658" spans="1:19" ht="15.75" thickBot="1" x14ac:dyDescent="0.25">
      <c r="A658" s="185"/>
      <c r="B658" s="175"/>
      <c r="C658" s="175"/>
      <c r="D658" s="202" t="s">
        <v>1131</v>
      </c>
      <c r="G658" s="179"/>
      <c r="H658" s="216"/>
      <c r="I658" s="218" t="s">
        <v>1132</v>
      </c>
      <c r="J658" s="217"/>
      <c r="K658" s="220" t="s">
        <v>1221</v>
      </c>
      <c r="L658" s="220"/>
      <c r="M658" s="219"/>
      <c r="N658" s="219"/>
      <c r="O658" s="304" t="s">
        <v>1131</v>
      </c>
      <c r="P658" s="179"/>
      <c r="Q658" s="179"/>
      <c r="R658" s="179"/>
      <c r="S658" s="179"/>
    </row>
    <row r="659" spans="1:19" ht="15.75" thickTop="1" x14ac:dyDescent="0.2">
      <c r="A659" s="185">
        <v>79</v>
      </c>
      <c r="B659" s="175" t="s">
        <v>1563</v>
      </c>
      <c r="C659" s="175" t="s">
        <v>1386</v>
      </c>
      <c r="D659" s="202"/>
      <c r="G659" s="179"/>
      <c r="H659" s="223">
        <v>79</v>
      </c>
      <c r="I659" s="225"/>
      <c r="J659" s="236"/>
      <c r="K659" s="277" t="s">
        <v>1386</v>
      </c>
      <c r="L659" s="236"/>
      <c r="M659" s="236"/>
      <c r="N659" s="236"/>
      <c r="O659" s="247"/>
      <c r="P659" s="179"/>
      <c r="Q659" s="194">
        <f>H659</f>
        <v>79</v>
      </c>
      <c r="R659" s="184" t="str">
        <f>CONCATENATE("II-",TEXT(Q659,"0000"))</f>
        <v>II-0079</v>
      </c>
      <c r="S659" s="195" t="str">
        <f>K659</f>
        <v>SUELO</v>
      </c>
    </row>
    <row r="660" spans="1:19" x14ac:dyDescent="0.2">
      <c r="A660" s="185"/>
      <c r="B660" s="175"/>
      <c r="C660" s="175"/>
      <c r="D660" s="202" t="s">
        <v>1131</v>
      </c>
      <c r="G660" s="179"/>
      <c r="H660" s="196"/>
      <c r="I660" s="331" t="s">
        <v>1020</v>
      </c>
      <c r="J660" s="205"/>
      <c r="K660" s="265" t="s">
        <v>1564</v>
      </c>
      <c r="L660" s="206"/>
      <c r="M660" s="206"/>
      <c r="N660" s="205"/>
      <c r="O660" s="238" t="s">
        <v>1131</v>
      </c>
      <c r="P660" s="179"/>
      <c r="Q660" s="179"/>
      <c r="R660" s="179"/>
      <c r="S660" s="179"/>
    </row>
    <row r="661" spans="1:19" x14ac:dyDescent="0.2">
      <c r="A661" s="185"/>
      <c r="B661" s="175"/>
      <c r="C661" s="175"/>
      <c r="D661" s="202" t="s">
        <v>1131</v>
      </c>
      <c r="G661" s="179"/>
      <c r="H661" s="196"/>
      <c r="I661" s="197" t="s">
        <v>1047</v>
      </c>
      <c r="J661" s="244"/>
      <c r="K661" s="206" t="s">
        <v>1565</v>
      </c>
      <c r="L661" s="265"/>
      <c r="M661" s="265"/>
      <c r="N661" s="244"/>
      <c r="O661" s="279" t="s">
        <v>1131</v>
      </c>
      <c r="P661" s="179"/>
      <c r="Q661" s="179"/>
      <c r="R661" s="179"/>
      <c r="S661" s="179"/>
    </row>
    <row r="662" spans="1:19" ht="15.75" thickBot="1" x14ac:dyDescent="0.25">
      <c r="A662" s="185"/>
      <c r="B662" s="175"/>
      <c r="C662" s="175"/>
      <c r="D662" s="202" t="s">
        <v>1131</v>
      </c>
      <c r="G662" s="179"/>
      <c r="H662" s="196"/>
      <c r="I662" s="218" t="s">
        <v>1057</v>
      </c>
      <c r="J662" s="205"/>
      <c r="K662" s="267" t="s">
        <v>1566</v>
      </c>
      <c r="L662" s="206"/>
      <c r="M662" s="206"/>
      <c r="N662" s="205"/>
      <c r="O662" s="238" t="s">
        <v>1131</v>
      </c>
      <c r="P662" s="179"/>
      <c r="Q662" s="179"/>
      <c r="R662" s="179"/>
      <c r="S662" s="179"/>
    </row>
    <row r="663" spans="1:19" ht="15.75" thickTop="1" x14ac:dyDescent="0.2">
      <c r="A663" s="185">
        <v>80</v>
      </c>
      <c r="B663" s="175" t="s">
        <v>1567</v>
      </c>
      <c r="C663" s="175" t="s">
        <v>1568</v>
      </c>
      <c r="D663" s="202"/>
      <c r="G663" s="179"/>
      <c r="H663" s="274">
        <v>80</v>
      </c>
      <c r="I663" s="224"/>
      <c r="J663" s="284"/>
      <c r="K663" s="293" t="s">
        <v>1568</v>
      </c>
      <c r="L663" s="284"/>
      <c r="M663" s="284"/>
      <c r="N663" s="284"/>
      <c r="O663" s="226"/>
      <c r="P663" s="179"/>
      <c r="Q663" s="194">
        <f>H663</f>
        <v>80</v>
      </c>
      <c r="R663" s="184" t="str">
        <f>CONCATENATE("II-",TEXT(Q663,"0000"))</f>
        <v>II-0080</v>
      </c>
      <c r="S663" s="195" t="str">
        <f>K663</f>
        <v>SUMIDEROS</v>
      </c>
    </row>
    <row r="664" spans="1:19" x14ac:dyDescent="0.2">
      <c r="A664" s="185"/>
      <c r="B664" s="175"/>
      <c r="C664" s="175"/>
      <c r="D664" s="202" t="s">
        <v>5</v>
      </c>
      <c r="G664" s="179"/>
      <c r="H664" s="196"/>
      <c r="I664" s="204" t="s">
        <v>1020</v>
      </c>
      <c r="J664" s="205"/>
      <c r="K664" s="206" t="s">
        <v>1569</v>
      </c>
      <c r="L664" s="206"/>
      <c r="M664" s="206"/>
      <c r="N664" s="205"/>
      <c r="O664" s="238" t="s">
        <v>5</v>
      </c>
      <c r="P664" s="179"/>
      <c r="Q664" s="179"/>
      <c r="R664" s="179"/>
      <c r="S664" s="179"/>
    </row>
    <row r="665" spans="1:19" x14ac:dyDescent="0.2">
      <c r="A665" s="185"/>
      <c r="B665" s="175"/>
      <c r="C665" s="175"/>
      <c r="D665" s="202" t="s">
        <v>5</v>
      </c>
      <c r="G665" s="179"/>
      <c r="H665" s="196"/>
      <c r="I665" s="197" t="s">
        <v>1047</v>
      </c>
      <c r="J665" s="244"/>
      <c r="K665" s="265" t="s">
        <v>1570</v>
      </c>
      <c r="L665" s="265"/>
      <c r="M665" s="265"/>
      <c r="N665" s="244"/>
      <c r="O665" s="279" t="s">
        <v>5</v>
      </c>
      <c r="P665" s="179"/>
      <c r="Q665" s="179"/>
      <c r="R665" s="179"/>
      <c r="S665" s="179"/>
    </row>
    <row r="666" spans="1:19" x14ac:dyDescent="0.2">
      <c r="A666" s="185"/>
      <c r="B666" s="175"/>
      <c r="C666" s="175"/>
      <c r="D666" s="202" t="s">
        <v>5</v>
      </c>
      <c r="G666" s="179"/>
      <c r="H666" s="196"/>
      <c r="I666" s="197" t="s">
        <v>1057</v>
      </c>
      <c r="J666" s="244"/>
      <c r="K666" s="265" t="s">
        <v>1571</v>
      </c>
      <c r="L666" s="265"/>
      <c r="M666" s="265"/>
      <c r="N666" s="244"/>
      <c r="O666" s="279" t="s">
        <v>5</v>
      </c>
      <c r="P666" s="179"/>
      <c r="Q666" s="179"/>
      <c r="R666" s="179"/>
      <c r="S666" s="179"/>
    </row>
    <row r="667" spans="1:19" ht="15.75" thickBot="1" x14ac:dyDescent="0.25">
      <c r="A667" s="185"/>
      <c r="B667" s="175"/>
      <c r="C667" s="175"/>
      <c r="D667" s="202" t="s">
        <v>5</v>
      </c>
      <c r="G667" s="179"/>
      <c r="H667" s="249"/>
      <c r="I667" s="251" t="s">
        <v>1083</v>
      </c>
      <c r="J667" s="252"/>
      <c r="K667" s="253" t="s">
        <v>1572</v>
      </c>
      <c r="L667" s="253"/>
      <c r="M667" s="253"/>
      <c r="N667" s="252"/>
      <c r="O667" s="307" t="s">
        <v>5</v>
      </c>
      <c r="P667" s="179"/>
      <c r="Q667" s="179"/>
      <c r="R667" s="179"/>
      <c r="S667" s="179"/>
    </row>
    <row r="668" spans="1:19" x14ac:dyDescent="0.2">
      <c r="A668" s="185"/>
      <c r="B668" s="175"/>
      <c r="C668" s="175"/>
      <c r="D668" s="202"/>
      <c r="G668" s="205"/>
      <c r="H668" s="255"/>
      <c r="I668" s="203"/>
      <c r="J668" s="205"/>
      <c r="K668" s="206"/>
      <c r="L668" s="206"/>
      <c r="M668" s="206"/>
      <c r="N668" s="205"/>
      <c r="O668" s="313"/>
      <c r="P668" s="205"/>
      <c r="Q668" s="205"/>
      <c r="R668" s="205"/>
      <c r="S668" s="205"/>
    </row>
    <row r="669" spans="1:19" x14ac:dyDescent="0.2">
      <c r="A669" s="185"/>
      <c r="B669" s="175"/>
      <c r="C669" s="175"/>
      <c r="D669" s="202"/>
      <c r="G669" s="205"/>
      <c r="H669" s="255"/>
      <c r="I669" s="203"/>
      <c r="J669" s="205"/>
      <c r="K669" s="206"/>
      <c r="L669" s="206"/>
      <c r="M669" s="206"/>
      <c r="N669" s="205"/>
      <c r="O669" s="313"/>
      <c r="P669" s="205"/>
      <c r="Q669" s="205"/>
      <c r="R669" s="205"/>
      <c r="S669" s="205"/>
    </row>
    <row r="670" spans="1:19" x14ac:dyDescent="0.2">
      <c r="A670" s="185"/>
      <c r="B670" s="175"/>
      <c r="C670" s="175"/>
      <c r="D670" s="202"/>
      <c r="G670" s="205"/>
      <c r="H670" s="255"/>
      <c r="I670" s="203"/>
      <c r="J670" s="205"/>
      <c r="K670" s="206"/>
      <c r="L670" s="206"/>
      <c r="M670" s="206"/>
      <c r="N670" s="205"/>
      <c r="O670" s="313"/>
      <c r="P670" s="205"/>
      <c r="Q670" s="205"/>
      <c r="R670" s="205"/>
      <c r="S670" s="205"/>
    </row>
    <row r="671" spans="1:19" x14ac:dyDescent="0.2">
      <c r="A671" s="185">
        <v>81</v>
      </c>
      <c r="B671" s="175" t="s">
        <v>1573</v>
      </c>
      <c r="C671" s="175" t="s">
        <v>1574</v>
      </c>
      <c r="D671" s="202"/>
      <c r="G671" s="352"/>
      <c r="H671" s="223">
        <v>81</v>
      </c>
      <c r="I671" s="225"/>
      <c r="J671" s="236"/>
      <c r="K671" s="293" t="s">
        <v>1574</v>
      </c>
      <c r="L671" s="236"/>
      <c r="M671" s="236"/>
      <c r="N671" s="236"/>
      <c r="O671" s="247"/>
      <c r="P671" s="179"/>
      <c r="Q671" s="194">
        <f>H671</f>
        <v>81</v>
      </c>
      <c r="R671" s="184" t="str">
        <f>CONCATENATE("II-",TEXT(Q671,"0000"))</f>
        <v>II-0081</v>
      </c>
      <c r="S671" s="195" t="str">
        <f>K671</f>
        <v>TERRAPLEN</v>
      </c>
    </row>
    <row r="672" spans="1:19" x14ac:dyDescent="0.2">
      <c r="A672" s="185"/>
      <c r="B672" s="175"/>
      <c r="C672" s="175"/>
      <c r="D672" s="202"/>
      <c r="G672" s="179"/>
      <c r="H672" s="196"/>
      <c r="I672" s="197" t="s">
        <v>1020</v>
      </c>
      <c r="J672" s="205"/>
      <c r="K672" s="206" t="s">
        <v>1575</v>
      </c>
      <c r="L672" s="205"/>
      <c r="M672" s="205"/>
      <c r="N672" s="205"/>
      <c r="O672" s="238"/>
      <c r="P672" s="179"/>
      <c r="Q672" s="179"/>
      <c r="R672" s="179"/>
      <c r="S672" s="179"/>
    </row>
    <row r="673" spans="1:19" x14ac:dyDescent="0.2">
      <c r="A673" s="185"/>
      <c r="B673" s="175"/>
      <c r="C673" s="175"/>
      <c r="D673" s="202" t="s">
        <v>1131</v>
      </c>
      <c r="G673" s="179"/>
      <c r="H673" s="196"/>
      <c r="I673" s="203"/>
      <c r="J673" s="204">
        <v>1</v>
      </c>
      <c r="K673" s="205"/>
      <c r="L673" s="206" t="s">
        <v>1576</v>
      </c>
      <c r="M673" s="205"/>
      <c r="N673" s="205"/>
      <c r="O673" s="238" t="s">
        <v>1131</v>
      </c>
      <c r="P673" s="179"/>
      <c r="Q673" s="179"/>
      <c r="R673" s="179"/>
      <c r="S673" s="179"/>
    </row>
    <row r="674" spans="1:19" x14ac:dyDescent="0.2">
      <c r="A674" s="185"/>
      <c r="B674" s="175"/>
      <c r="C674" s="175"/>
      <c r="D674" s="202" t="s">
        <v>1131</v>
      </c>
      <c r="G674" s="179"/>
      <c r="H674" s="196"/>
      <c r="I674" s="215"/>
      <c r="J674" s="210">
        <v>2</v>
      </c>
      <c r="K674" s="211"/>
      <c r="L674" s="212" t="s">
        <v>1577</v>
      </c>
      <c r="M674" s="211"/>
      <c r="N674" s="211"/>
      <c r="O674" s="257" t="s">
        <v>1131</v>
      </c>
      <c r="P674" s="179"/>
      <c r="Q674" s="179"/>
      <c r="R674" s="179"/>
      <c r="S674" s="179"/>
    </row>
    <row r="675" spans="1:19" x14ac:dyDescent="0.2">
      <c r="A675" s="185"/>
      <c r="B675" s="175"/>
      <c r="C675" s="175"/>
      <c r="D675" s="202"/>
      <c r="G675" s="179"/>
      <c r="H675" s="196"/>
      <c r="I675" s="197" t="s">
        <v>1047</v>
      </c>
      <c r="J675" s="205"/>
      <c r="K675" s="206" t="s">
        <v>1578</v>
      </c>
      <c r="L675" s="205"/>
      <c r="M675" s="205"/>
      <c r="N675" s="205"/>
      <c r="O675" s="238"/>
      <c r="P675" s="179"/>
      <c r="Q675" s="179"/>
      <c r="R675" s="179"/>
      <c r="S675" s="179"/>
    </row>
    <row r="676" spans="1:19" x14ac:dyDescent="0.2">
      <c r="A676" s="185"/>
      <c r="B676" s="175"/>
      <c r="C676" s="175"/>
      <c r="D676" s="202" t="s">
        <v>1131</v>
      </c>
      <c r="G676" s="179"/>
      <c r="H676" s="196"/>
      <c r="I676" s="203"/>
      <c r="J676" s="204">
        <v>1</v>
      </c>
      <c r="K676" s="205"/>
      <c r="L676" s="206" t="s">
        <v>1579</v>
      </c>
      <c r="M676" s="205"/>
      <c r="N676" s="205"/>
      <c r="O676" s="238" t="s">
        <v>1131</v>
      </c>
      <c r="P676" s="179"/>
      <c r="Q676" s="179"/>
      <c r="R676" s="179"/>
      <c r="S676" s="179"/>
    </row>
    <row r="677" spans="1:19" ht="15.75" thickBot="1" x14ac:dyDescent="0.25">
      <c r="A677" s="185"/>
      <c r="B677" s="175"/>
      <c r="C677" s="175"/>
      <c r="D677" s="202" t="s">
        <v>1131</v>
      </c>
      <c r="G677" s="179"/>
      <c r="H677" s="196"/>
      <c r="I677" s="203"/>
      <c r="J677" s="218">
        <v>2</v>
      </c>
      <c r="K677" s="205"/>
      <c r="L677" s="206" t="s">
        <v>1577</v>
      </c>
      <c r="M677" s="205"/>
      <c r="N677" s="205"/>
      <c r="O677" s="238" t="s">
        <v>1131</v>
      </c>
      <c r="P677" s="179"/>
      <c r="Q677" s="179"/>
      <c r="R677" s="179"/>
      <c r="S677" s="179"/>
    </row>
    <row r="678" spans="1:19" ht="16.5" thickTop="1" thickBot="1" x14ac:dyDescent="0.25">
      <c r="A678" s="185">
        <v>82</v>
      </c>
      <c r="B678" s="175" t="s">
        <v>1580</v>
      </c>
      <c r="C678" s="175" t="s">
        <v>1581</v>
      </c>
      <c r="D678" s="202" t="s">
        <v>1214</v>
      </c>
      <c r="G678" s="179"/>
      <c r="H678" s="320">
        <v>82</v>
      </c>
      <c r="I678" s="321"/>
      <c r="J678" s="322"/>
      <c r="K678" s="323" t="s">
        <v>1581</v>
      </c>
      <c r="L678" s="322"/>
      <c r="M678" s="322"/>
      <c r="N678" s="322"/>
      <c r="O678" s="324" t="s">
        <v>1214</v>
      </c>
      <c r="P678" s="179"/>
      <c r="Q678" s="194">
        <f t="shared" ref="Q678:Q679" si="66">H678</f>
        <v>82</v>
      </c>
      <c r="R678" s="184" t="str">
        <f t="shared" ref="R678:R679" si="67">CONCATENATE("II-",TEXT(Q678,"0000"))</f>
        <v>II-0082</v>
      </c>
      <c r="S678" s="195" t="str">
        <f t="shared" ref="S678:S679" si="68">K678</f>
        <v>TEXTURIZADO (SUPERFICIE DE RODAMIENTO)</v>
      </c>
    </row>
    <row r="679" spans="1:19" ht="15.75" thickTop="1" x14ac:dyDescent="0.2">
      <c r="A679" s="185">
        <v>83</v>
      </c>
      <c r="B679" s="175" t="s">
        <v>1582</v>
      </c>
      <c r="C679" s="175" t="s">
        <v>1583</v>
      </c>
      <c r="D679" s="202"/>
      <c r="G679" s="179"/>
      <c r="H679" s="223">
        <v>83</v>
      </c>
      <c r="I679" s="225"/>
      <c r="J679" s="225"/>
      <c r="K679" s="235" t="s">
        <v>1583</v>
      </c>
      <c r="L679" s="236"/>
      <c r="M679" s="236"/>
      <c r="N679" s="236"/>
      <c r="O679" s="247"/>
      <c r="P679" s="179"/>
      <c r="Q679" s="194">
        <f t="shared" si="66"/>
        <v>83</v>
      </c>
      <c r="R679" s="184" t="str">
        <f t="shared" si="67"/>
        <v>II-0083</v>
      </c>
      <c r="S679" s="195" t="str">
        <f t="shared" si="68"/>
        <v>TRABAJOS NO ESPECIFICADOS O DE EMERGENCIA</v>
      </c>
    </row>
    <row r="680" spans="1:19" x14ac:dyDescent="0.2">
      <c r="A680" s="185"/>
      <c r="B680" s="175"/>
      <c r="C680" s="175"/>
      <c r="D680" s="202" t="s">
        <v>908</v>
      </c>
      <c r="G680" s="179"/>
      <c r="H680" s="196"/>
      <c r="I680" s="331" t="s">
        <v>1020</v>
      </c>
      <c r="J680" s="203"/>
      <c r="K680" s="353" t="s">
        <v>1584</v>
      </c>
      <c r="L680" s="205"/>
      <c r="M680" s="205"/>
      <c r="N680" s="205"/>
      <c r="O680" s="238" t="s">
        <v>908</v>
      </c>
      <c r="P680" s="179"/>
      <c r="Q680" s="179"/>
      <c r="R680" s="179"/>
      <c r="S680" s="179"/>
    </row>
    <row r="681" spans="1:19" x14ac:dyDescent="0.2">
      <c r="A681" s="185"/>
      <c r="B681" s="175"/>
      <c r="C681" s="175"/>
      <c r="D681" s="202" t="s">
        <v>908</v>
      </c>
      <c r="G681" s="179"/>
      <c r="H681" s="196"/>
      <c r="I681" s="197" t="s">
        <v>1047</v>
      </c>
      <c r="J681" s="332"/>
      <c r="K681" s="265" t="s">
        <v>1585</v>
      </c>
      <c r="L681" s="265"/>
      <c r="M681" s="244"/>
      <c r="N681" s="244"/>
      <c r="O681" s="279" t="s">
        <v>908</v>
      </c>
      <c r="P681" s="179"/>
      <c r="Q681" s="179"/>
      <c r="R681" s="179"/>
      <c r="S681" s="179"/>
    </row>
    <row r="682" spans="1:19" x14ac:dyDescent="0.2">
      <c r="A682" s="185"/>
      <c r="B682" s="175"/>
      <c r="C682" s="175"/>
      <c r="D682" s="202" t="s">
        <v>908</v>
      </c>
      <c r="G682" s="179"/>
      <c r="H682" s="196"/>
      <c r="I682" s="204" t="s">
        <v>1057</v>
      </c>
      <c r="J682" s="203"/>
      <c r="K682" s="353" t="s">
        <v>1586</v>
      </c>
      <c r="L682" s="206"/>
      <c r="M682" s="205"/>
      <c r="N682" s="205"/>
      <c r="O682" s="238" t="s">
        <v>908</v>
      </c>
      <c r="P682" s="179"/>
      <c r="Q682" s="179"/>
      <c r="R682" s="179"/>
      <c r="S682" s="179"/>
    </row>
    <row r="683" spans="1:19" x14ac:dyDescent="0.2">
      <c r="A683" s="185"/>
      <c r="B683" s="175"/>
      <c r="C683" s="175"/>
      <c r="D683" s="202" t="s">
        <v>908</v>
      </c>
      <c r="G683" s="179"/>
      <c r="H683" s="196"/>
      <c r="I683" s="197" t="s">
        <v>1083</v>
      </c>
      <c r="J683" s="332"/>
      <c r="K683" s="354" t="s">
        <v>1587</v>
      </c>
      <c r="L683" s="265"/>
      <c r="M683" s="244"/>
      <c r="N683" s="244"/>
      <c r="O683" s="279" t="s">
        <v>908</v>
      </c>
      <c r="P683" s="179"/>
      <c r="Q683" s="179"/>
      <c r="R683" s="179"/>
      <c r="S683" s="179"/>
    </row>
    <row r="684" spans="1:19" x14ac:dyDescent="0.2">
      <c r="A684" s="185"/>
      <c r="B684" s="175"/>
      <c r="C684" s="175"/>
      <c r="D684" s="202" t="s">
        <v>908</v>
      </c>
      <c r="G684" s="179"/>
      <c r="H684" s="196"/>
      <c r="I684" s="204" t="s">
        <v>1125</v>
      </c>
      <c r="J684" s="203"/>
      <c r="K684" s="353" t="s">
        <v>1588</v>
      </c>
      <c r="L684" s="283"/>
      <c r="M684" s="205"/>
      <c r="N684" s="205"/>
      <c r="O684" s="238" t="s">
        <v>908</v>
      </c>
      <c r="P684" s="179"/>
      <c r="Q684" s="179"/>
      <c r="R684" s="179"/>
      <c r="S684" s="179"/>
    </row>
    <row r="685" spans="1:19" ht="15.75" thickBot="1" x14ac:dyDescent="0.25">
      <c r="A685" s="185"/>
      <c r="B685" s="175"/>
      <c r="C685" s="175"/>
      <c r="D685" s="202" t="s">
        <v>908</v>
      </c>
      <c r="G685" s="179"/>
      <c r="H685" s="216"/>
      <c r="I685" s="228" t="s">
        <v>1128</v>
      </c>
      <c r="J685" s="229"/>
      <c r="K685" s="355" t="s">
        <v>1589</v>
      </c>
      <c r="L685" s="356"/>
      <c r="M685" s="231"/>
      <c r="N685" s="231"/>
      <c r="O685" s="305" t="s">
        <v>908</v>
      </c>
      <c r="P685" s="179"/>
      <c r="Q685" s="179"/>
      <c r="R685" s="179"/>
      <c r="S685" s="179"/>
    </row>
    <row r="686" spans="1:19" ht="15.75" thickTop="1" x14ac:dyDescent="0.2">
      <c r="A686" s="185">
        <v>84</v>
      </c>
      <c r="B686" s="175" t="s">
        <v>1590</v>
      </c>
      <c r="C686" s="175" t="s">
        <v>1591</v>
      </c>
      <c r="D686" s="202"/>
      <c r="G686" s="179"/>
      <c r="H686" s="223">
        <v>84</v>
      </c>
      <c r="I686" s="225"/>
      <c r="J686" s="236"/>
      <c r="K686" s="293" t="s">
        <v>1591</v>
      </c>
      <c r="L686" s="236"/>
      <c r="M686" s="236"/>
      <c r="N686" s="236"/>
      <c r="O686" s="247"/>
      <c r="P686" s="179"/>
      <c r="Q686" s="194">
        <f>H686</f>
        <v>84</v>
      </c>
      <c r="R686" s="184" t="str">
        <f>CONCATENATE("II-",TEXT(Q686,"0000"))</f>
        <v>II-0084</v>
      </c>
      <c r="S686" s="195" t="str">
        <f>K686</f>
        <v xml:space="preserve">TRANSPORTE </v>
      </c>
    </row>
    <row r="687" spans="1:19" x14ac:dyDescent="0.2">
      <c r="A687" s="185"/>
      <c r="B687" s="175"/>
      <c r="C687" s="175"/>
      <c r="D687" s="202" t="s">
        <v>1592</v>
      </c>
      <c r="G687" s="179"/>
      <c r="H687" s="196"/>
      <c r="I687" s="197" t="s">
        <v>1020</v>
      </c>
      <c r="J687" s="332"/>
      <c r="K687" s="265" t="s">
        <v>1385</v>
      </c>
      <c r="L687" s="244"/>
      <c r="M687" s="244"/>
      <c r="N687" s="244"/>
      <c r="O687" s="279" t="s">
        <v>1592</v>
      </c>
      <c r="P687" s="179"/>
      <c r="Q687" s="179"/>
      <c r="R687" s="179"/>
      <c r="S687" s="179"/>
    </row>
    <row r="688" spans="1:19" ht="15.75" thickBot="1" x14ac:dyDescent="0.25">
      <c r="A688" s="185"/>
      <c r="B688" s="175"/>
      <c r="C688" s="175"/>
      <c r="D688" s="202" t="s">
        <v>1593</v>
      </c>
      <c r="G688" s="179"/>
      <c r="H688" s="196"/>
      <c r="I688" s="218" t="s">
        <v>1047</v>
      </c>
      <c r="J688" s="203"/>
      <c r="K688" s="206" t="s">
        <v>1386</v>
      </c>
      <c r="L688" s="205"/>
      <c r="M688" s="205"/>
      <c r="N688" s="205"/>
      <c r="O688" s="238" t="s">
        <v>1593</v>
      </c>
      <c r="P688" s="179"/>
      <c r="Q688" s="179"/>
      <c r="R688" s="179"/>
      <c r="S688" s="179"/>
    </row>
    <row r="689" spans="1:19" ht="15.75" thickTop="1" x14ac:dyDescent="0.2">
      <c r="A689" s="185">
        <v>85</v>
      </c>
      <c r="B689" s="175" t="s">
        <v>1594</v>
      </c>
      <c r="C689" s="175" t="s">
        <v>1595</v>
      </c>
      <c r="D689" s="202"/>
      <c r="G689" s="179"/>
      <c r="H689" s="274">
        <v>85</v>
      </c>
      <c r="I689" s="224"/>
      <c r="J689" s="284"/>
      <c r="K689" s="285" t="s">
        <v>1595</v>
      </c>
      <c r="L689" s="284"/>
      <c r="M689" s="284"/>
      <c r="N689" s="284"/>
      <c r="O689" s="226"/>
      <c r="P689" s="179"/>
      <c r="Q689" s="194">
        <f>H689</f>
        <v>85</v>
      </c>
      <c r="R689" s="184" t="str">
        <f>CONCATENATE("II-",TEXT(Q689,"0000"))</f>
        <v>II-0085</v>
      </c>
      <c r="S689" s="195" t="str">
        <f>K689</f>
        <v>TRANQUERA</v>
      </c>
    </row>
    <row r="690" spans="1:19" x14ac:dyDescent="0.2">
      <c r="A690" s="185">
        <v>1</v>
      </c>
      <c r="B690" s="186" t="str">
        <f>CONCATENATE($B$689,".",TEXT(A690,"0000"))</f>
        <v>II-0085.0001</v>
      </c>
      <c r="C690" s="175" t="s">
        <v>1596</v>
      </c>
      <c r="D690" s="202" t="s">
        <v>1248</v>
      </c>
      <c r="G690" s="179"/>
      <c r="H690" s="196"/>
      <c r="I690" s="197" t="s">
        <v>1020</v>
      </c>
      <c r="J690" s="244"/>
      <c r="K690" s="265" t="s">
        <v>1597</v>
      </c>
      <c r="L690" s="265"/>
      <c r="M690" s="265"/>
      <c r="N690" s="265"/>
      <c r="O690" s="279" t="s">
        <v>1248</v>
      </c>
      <c r="P690" s="179"/>
      <c r="Q690" s="179"/>
      <c r="R690" s="179"/>
      <c r="S690" s="179"/>
    </row>
    <row r="691" spans="1:19" ht="15.75" thickBot="1" x14ac:dyDescent="0.25">
      <c r="A691" s="185">
        <v>2</v>
      </c>
      <c r="B691" s="186" t="str">
        <f>CONCATENATE($B$689,".",TEXT(A691,"0000"))</f>
        <v>II-0085.0002</v>
      </c>
      <c r="C691" s="175" t="s">
        <v>1598</v>
      </c>
      <c r="D691" s="202" t="s">
        <v>1248</v>
      </c>
      <c r="G691" s="179"/>
      <c r="H691" s="216"/>
      <c r="I691" s="218" t="s">
        <v>1047</v>
      </c>
      <c r="J691" s="219"/>
      <c r="K691" s="220" t="s">
        <v>1599</v>
      </c>
      <c r="L691" s="220"/>
      <c r="M691" s="220"/>
      <c r="N691" s="220"/>
      <c r="O691" s="304" t="s">
        <v>1248</v>
      </c>
      <c r="P691" s="179"/>
      <c r="Q691" s="179"/>
      <c r="R691" s="179"/>
      <c r="S691" s="179"/>
    </row>
    <row r="692" spans="1:19" ht="15.75" thickTop="1" x14ac:dyDescent="0.2">
      <c r="A692" s="185">
        <v>86</v>
      </c>
      <c r="B692" s="175" t="s">
        <v>1600</v>
      </c>
      <c r="C692" s="175" t="s">
        <v>1601</v>
      </c>
      <c r="D692" s="202"/>
      <c r="G692" s="179"/>
      <c r="H692" s="274">
        <v>86</v>
      </c>
      <c r="I692" s="224"/>
      <c r="J692" s="284"/>
      <c r="K692" s="285" t="s">
        <v>1601</v>
      </c>
      <c r="L692" s="284"/>
      <c r="M692" s="284"/>
      <c r="N692" s="284"/>
      <c r="O692" s="226"/>
      <c r="P692" s="179"/>
      <c r="Q692" s="194">
        <f>H692</f>
        <v>86</v>
      </c>
      <c r="R692" s="184" t="str">
        <f>CONCATENATE("II-",TEXT(Q692,"0000"))</f>
        <v>II-0086</v>
      </c>
      <c r="S692" s="195" t="str">
        <f>K692</f>
        <v>TRATAMIENTO BITUMINOSO</v>
      </c>
    </row>
    <row r="693" spans="1:19" x14ac:dyDescent="0.2">
      <c r="A693" s="185"/>
      <c r="B693" s="175"/>
      <c r="C693" s="175"/>
      <c r="D693" s="202" t="s">
        <v>1214</v>
      </c>
      <c r="G693" s="179"/>
      <c r="H693" s="196"/>
      <c r="I693" s="197" t="s">
        <v>1020</v>
      </c>
      <c r="J693" s="244"/>
      <c r="K693" s="265" t="s">
        <v>1602</v>
      </c>
      <c r="L693" s="244"/>
      <c r="M693" s="244"/>
      <c r="N693" s="244"/>
      <c r="O693" s="279" t="s">
        <v>1214</v>
      </c>
      <c r="P693" s="179"/>
      <c r="Q693" s="179"/>
      <c r="R693" s="179"/>
      <c r="S693" s="179"/>
    </row>
    <row r="694" spans="1:19" x14ac:dyDescent="0.2">
      <c r="A694" s="185"/>
      <c r="B694" s="175"/>
      <c r="C694" s="175"/>
      <c r="D694" s="202" t="s">
        <v>1214</v>
      </c>
      <c r="G694" s="179"/>
      <c r="H694" s="196"/>
      <c r="I694" s="204" t="s">
        <v>1047</v>
      </c>
      <c r="J694" s="205"/>
      <c r="K694" s="206" t="s">
        <v>1603</v>
      </c>
      <c r="L694" s="205"/>
      <c r="M694" s="205"/>
      <c r="N694" s="205"/>
      <c r="O694" s="238" t="s">
        <v>1214</v>
      </c>
      <c r="P694" s="179"/>
      <c r="Q694" s="179"/>
      <c r="R694" s="179"/>
      <c r="S694" s="179"/>
    </row>
    <row r="695" spans="1:19" x14ac:dyDescent="0.2">
      <c r="A695" s="185"/>
      <c r="B695" s="175"/>
      <c r="C695" s="175"/>
      <c r="D695" s="202" t="s">
        <v>1214</v>
      </c>
      <c r="G695" s="179"/>
      <c r="H695" s="196"/>
      <c r="I695" s="197" t="s">
        <v>1057</v>
      </c>
      <c r="J695" s="244"/>
      <c r="K695" s="265" t="s">
        <v>1604</v>
      </c>
      <c r="L695" s="244"/>
      <c r="M695" s="244"/>
      <c r="N695" s="244"/>
      <c r="O695" s="279" t="s">
        <v>1214</v>
      </c>
      <c r="P695" s="179"/>
      <c r="Q695" s="179"/>
      <c r="R695" s="179"/>
      <c r="S695" s="179"/>
    </row>
    <row r="696" spans="1:19" x14ac:dyDescent="0.2">
      <c r="A696" s="185"/>
      <c r="B696" s="175"/>
      <c r="C696" s="175"/>
      <c r="D696" s="202" t="s">
        <v>1214</v>
      </c>
      <c r="G696" s="179"/>
      <c r="H696" s="196"/>
      <c r="I696" s="204" t="s">
        <v>1083</v>
      </c>
      <c r="J696" s="205"/>
      <c r="K696" s="206" t="s">
        <v>1313</v>
      </c>
      <c r="L696" s="205"/>
      <c r="M696" s="205"/>
      <c r="N696" s="205"/>
      <c r="O696" s="238" t="s">
        <v>1214</v>
      </c>
      <c r="P696" s="179"/>
      <c r="Q696" s="179"/>
      <c r="R696" s="179"/>
      <c r="S696" s="179"/>
    </row>
    <row r="697" spans="1:19" x14ac:dyDescent="0.2">
      <c r="A697" s="185"/>
      <c r="B697" s="175"/>
      <c r="C697" s="175"/>
      <c r="D697" s="202" t="s">
        <v>1214</v>
      </c>
      <c r="G697" s="179"/>
      <c r="H697" s="196"/>
      <c r="I697" s="197" t="s">
        <v>1125</v>
      </c>
      <c r="J697" s="244"/>
      <c r="K697" s="265" t="s">
        <v>1605</v>
      </c>
      <c r="L697" s="244"/>
      <c r="M697" s="244"/>
      <c r="N697" s="244"/>
      <c r="O697" s="279" t="s">
        <v>1214</v>
      </c>
      <c r="P697" s="179"/>
      <c r="Q697" s="179"/>
      <c r="R697" s="179"/>
      <c r="S697" s="179"/>
    </row>
    <row r="698" spans="1:19" x14ac:dyDescent="0.2">
      <c r="A698" s="185"/>
      <c r="B698" s="175"/>
      <c r="C698" s="175"/>
      <c r="D698" s="202" t="s">
        <v>1214</v>
      </c>
      <c r="G698" s="179"/>
      <c r="H698" s="196"/>
      <c r="I698" s="197" t="s">
        <v>1128</v>
      </c>
      <c r="J698" s="244"/>
      <c r="K698" s="265" t="s">
        <v>1606</v>
      </c>
      <c r="L698" s="244"/>
      <c r="M698" s="244"/>
      <c r="N698" s="244"/>
      <c r="O698" s="279" t="s">
        <v>1214</v>
      </c>
      <c r="P698" s="179"/>
      <c r="Q698" s="179"/>
      <c r="R698" s="179"/>
      <c r="S698" s="179"/>
    </row>
    <row r="699" spans="1:19" ht="15.75" thickBot="1" x14ac:dyDescent="0.25">
      <c r="A699" s="185"/>
      <c r="B699" s="175"/>
      <c r="C699" s="175"/>
      <c r="D699" s="202" t="s">
        <v>1214</v>
      </c>
      <c r="G699" s="179"/>
      <c r="H699" s="196"/>
      <c r="I699" s="218" t="s">
        <v>1132</v>
      </c>
      <c r="J699" s="205"/>
      <c r="K699" s="206" t="s">
        <v>1607</v>
      </c>
      <c r="L699" s="205"/>
      <c r="M699" s="205"/>
      <c r="N699" s="205"/>
      <c r="O699" s="238" t="s">
        <v>1214</v>
      </c>
      <c r="P699" s="179"/>
      <c r="Q699" s="179"/>
      <c r="R699" s="179"/>
      <c r="S699" s="179"/>
    </row>
    <row r="700" spans="1:19" ht="15.75" thickTop="1" x14ac:dyDescent="0.2">
      <c r="A700" s="185">
        <v>87</v>
      </c>
      <c r="B700" s="175" t="s">
        <v>1608</v>
      </c>
      <c r="C700" s="175" t="s">
        <v>1609</v>
      </c>
      <c r="D700" s="202"/>
      <c r="G700" s="179"/>
      <c r="H700" s="274">
        <v>87</v>
      </c>
      <c r="I700" s="275"/>
      <c r="J700" s="276"/>
      <c r="K700" s="339" t="s">
        <v>1609</v>
      </c>
      <c r="L700" s="276"/>
      <c r="M700" s="276"/>
      <c r="N700" s="276"/>
      <c r="O700" s="278"/>
      <c r="P700" s="179"/>
      <c r="Q700" s="194">
        <f>H700</f>
        <v>87</v>
      </c>
      <c r="R700" s="184" t="str">
        <f>CONCATENATE("II-",TEXT(Q700,"0000"))</f>
        <v>II-0087</v>
      </c>
      <c r="S700" s="195" t="str">
        <f>K700</f>
        <v>TOMA DE JUNTA</v>
      </c>
    </row>
    <row r="701" spans="1:19" x14ac:dyDescent="0.2">
      <c r="A701" s="185"/>
      <c r="B701" s="175"/>
      <c r="C701" s="175"/>
      <c r="D701" s="202" t="s">
        <v>1256</v>
      </c>
      <c r="G701" s="258"/>
      <c r="H701" s="196"/>
      <c r="I701" s="197" t="s">
        <v>1020</v>
      </c>
      <c r="J701" s="244"/>
      <c r="K701" s="265" t="s">
        <v>1610</v>
      </c>
      <c r="L701" s="265"/>
      <c r="M701" s="265"/>
      <c r="N701" s="265"/>
      <c r="O701" s="279" t="s">
        <v>1256</v>
      </c>
      <c r="P701" s="258"/>
      <c r="Q701" s="258"/>
      <c r="R701" s="258"/>
      <c r="S701" s="258"/>
    </row>
    <row r="702" spans="1:19" ht="15.75" thickBot="1" x14ac:dyDescent="0.25">
      <c r="A702" s="185"/>
      <c r="B702" s="175"/>
      <c r="C702" s="175"/>
      <c r="D702" s="202" t="s">
        <v>1256</v>
      </c>
      <c r="G702" s="258"/>
      <c r="H702" s="266"/>
      <c r="I702" s="218" t="s">
        <v>1047</v>
      </c>
      <c r="J702" s="219"/>
      <c r="K702" s="220" t="s">
        <v>1436</v>
      </c>
      <c r="L702" s="220"/>
      <c r="M702" s="220"/>
      <c r="N702" s="220"/>
      <c r="O702" s="304" t="s">
        <v>1256</v>
      </c>
      <c r="P702" s="258"/>
      <c r="Q702" s="258"/>
      <c r="R702" s="258"/>
      <c r="S702" s="258"/>
    </row>
    <row r="703" spans="1:19" ht="16.5" thickTop="1" thickBot="1" x14ac:dyDescent="0.25">
      <c r="A703" s="185">
        <v>88</v>
      </c>
      <c r="B703" s="175" t="s">
        <v>1611</v>
      </c>
      <c r="C703" s="175" t="s">
        <v>1612</v>
      </c>
      <c r="D703" s="202" t="s">
        <v>1131</v>
      </c>
      <c r="G703" s="179"/>
      <c r="H703" s="223">
        <v>88</v>
      </c>
      <c r="I703" s="225"/>
      <c r="J703" s="236"/>
      <c r="K703" s="293" t="s">
        <v>1612</v>
      </c>
      <c r="L703" s="236"/>
      <c r="M703" s="236"/>
      <c r="N703" s="236"/>
      <c r="O703" s="247" t="s">
        <v>1131</v>
      </c>
      <c r="P703" s="179"/>
      <c r="Q703" s="194">
        <f t="shared" ref="Q703:Q704" si="69">H703</f>
        <v>88</v>
      </c>
      <c r="R703" s="184" t="str">
        <f t="shared" ref="R703:R704" si="70">CONCATENATE("II-",TEXT(Q703,"0000"))</f>
        <v>II-0088</v>
      </c>
      <c r="S703" s="195" t="str">
        <f t="shared" ref="S703:S704" si="71">K703</f>
        <v>TOSCAPLEN</v>
      </c>
    </row>
    <row r="704" spans="1:19" ht="16.5" thickTop="1" thickBot="1" x14ac:dyDescent="0.25">
      <c r="A704" s="185">
        <v>89</v>
      </c>
      <c r="B704" s="175" t="s">
        <v>1613</v>
      </c>
      <c r="C704" s="175" t="s">
        <v>1614</v>
      </c>
      <c r="D704" s="202" t="s">
        <v>1474</v>
      </c>
      <c r="G704" s="179"/>
      <c r="H704" s="286">
        <v>89</v>
      </c>
      <c r="I704" s="287"/>
      <c r="J704" s="288"/>
      <c r="K704" s="289" t="s">
        <v>1614</v>
      </c>
      <c r="L704" s="288"/>
      <c r="M704" s="288"/>
      <c r="N704" s="288"/>
      <c r="O704" s="290" t="s">
        <v>1474</v>
      </c>
      <c r="P704" s="179"/>
      <c r="Q704" s="194">
        <f t="shared" si="69"/>
        <v>89</v>
      </c>
      <c r="R704" s="184" t="str">
        <f t="shared" si="70"/>
        <v>II-0089</v>
      </c>
      <c r="S704" s="195" t="str">
        <f t="shared" si="71"/>
        <v>VIVENDA PERSONAL DE SUPERVICION</v>
      </c>
    </row>
    <row r="705" spans="1:19" x14ac:dyDescent="0.2">
      <c r="A705" s="185"/>
      <c r="B705" s="175"/>
      <c r="C705" s="175"/>
      <c r="D705" s="202"/>
      <c r="G705" s="179"/>
      <c r="H705" s="357"/>
      <c r="I705" s="184"/>
      <c r="J705" s="179"/>
      <c r="K705" s="179"/>
      <c r="L705" s="179"/>
      <c r="M705" s="179"/>
      <c r="N705" s="179"/>
      <c r="O705" s="182"/>
      <c r="P705" s="179"/>
      <c r="Q705" s="179"/>
      <c r="R705" s="179"/>
      <c r="S705" s="179"/>
    </row>
    <row r="706" spans="1:19" x14ac:dyDescent="0.2">
      <c r="A706" s="185"/>
      <c r="B706" s="175"/>
      <c r="C706" s="175"/>
      <c r="D706" s="202"/>
      <c r="G706" s="179"/>
      <c r="H706" s="357"/>
      <c r="I706" s="184"/>
      <c r="J706" s="179"/>
      <c r="K706" s="179"/>
      <c r="L706" s="179"/>
      <c r="M706" s="179"/>
      <c r="N706" s="179"/>
      <c r="O706" s="182"/>
      <c r="P706" s="179"/>
      <c r="Q706" s="179"/>
      <c r="R706" s="179"/>
      <c r="S706" s="179"/>
    </row>
    <row r="707" spans="1:19" x14ac:dyDescent="0.2">
      <c r="A707" s="185"/>
      <c r="B707" s="175"/>
      <c r="C707" s="175"/>
      <c r="D707" s="202"/>
      <c r="G707" s="179"/>
      <c r="H707" s="357"/>
      <c r="I707" s="184"/>
      <c r="J707" s="179"/>
      <c r="K707" s="179"/>
      <c r="L707" s="179"/>
      <c r="M707" s="179"/>
      <c r="N707" s="179"/>
      <c r="O707" s="182"/>
      <c r="P707" s="179"/>
      <c r="Q707" s="179"/>
      <c r="R707" s="179"/>
      <c r="S707" s="179"/>
    </row>
    <row r="708" spans="1:19" x14ac:dyDescent="0.2">
      <c r="A708" s="185"/>
      <c r="B708" s="175"/>
      <c r="C708" s="175"/>
      <c r="D708" s="202"/>
      <c r="G708" s="179"/>
      <c r="H708" s="357"/>
      <c r="I708" s="184"/>
      <c r="J708" s="179"/>
      <c r="K708" s="179"/>
      <c r="L708" s="179"/>
      <c r="M708" s="179"/>
      <c r="N708" s="179"/>
      <c r="O708" s="182"/>
      <c r="P708" s="179"/>
      <c r="Q708" s="179"/>
      <c r="R708" s="179"/>
      <c r="S708" s="179"/>
    </row>
    <row r="709" spans="1:19" x14ac:dyDescent="0.2">
      <c r="A709" s="185"/>
      <c r="B709" s="175"/>
      <c r="C709" s="175"/>
      <c r="D709" s="202"/>
      <c r="G709" s="179"/>
      <c r="H709" s="357"/>
      <c r="I709" s="184"/>
      <c r="J709" s="179"/>
      <c r="K709" s="179"/>
      <c r="L709" s="179"/>
      <c r="M709" s="179"/>
      <c r="N709" s="179"/>
      <c r="O709" s="182"/>
      <c r="P709" s="179"/>
      <c r="Q709" s="179"/>
      <c r="R709" s="179"/>
      <c r="S709" s="179"/>
    </row>
    <row r="710" spans="1:19" x14ac:dyDescent="0.2">
      <c r="A710" s="185"/>
      <c r="B710" s="175"/>
      <c r="C710" s="175"/>
      <c r="D710" s="202"/>
      <c r="G710" s="179"/>
      <c r="H710" s="357"/>
      <c r="I710" s="184"/>
      <c r="J710" s="179"/>
      <c r="K710" s="179"/>
      <c r="L710" s="179"/>
      <c r="M710" s="179"/>
      <c r="N710" s="179"/>
      <c r="O710" s="182"/>
      <c r="P710" s="179"/>
      <c r="Q710" s="179"/>
      <c r="R710" s="179"/>
      <c r="S710" s="179"/>
    </row>
    <row r="711" spans="1:19" x14ac:dyDescent="0.2">
      <c r="A711" s="185"/>
      <c r="B711" s="175"/>
      <c r="C711" s="175"/>
      <c r="D711" s="202"/>
      <c r="G711" s="179"/>
      <c r="H711" s="357"/>
      <c r="I711" s="184"/>
      <c r="J711" s="179"/>
      <c r="K711" s="179"/>
      <c r="L711" s="179"/>
      <c r="M711" s="179"/>
      <c r="N711" s="179"/>
      <c r="O711" s="182"/>
      <c r="P711" s="179"/>
      <c r="Q711" s="179"/>
      <c r="R711" s="179"/>
      <c r="S711" s="179"/>
    </row>
    <row r="712" spans="1:19" x14ac:dyDescent="0.2">
      <c r="A712" s="185"/>
      <c r="B712" s="175"/>
      <c r="C712" s="175"/>
      <c r="D712" s="202"/>
      <c r="G712" s="179"/>
      <c r="H712" s="357"/>
      <c r="I712" s="184"/>
      <c r="J712" s="179"/>
      <c r="K712" s="179"/>
      <c r="L712" s="179"/>
      <c r="M712" s="179"/>
      <c r="N712" s="179"/>
      <c r="O712" s="182"/>
      <c r="P712" s="179"/>
      <c r="Q712" s="179"/>
      <c r="R712" s="179"/>
      <c r="S712" s="179"/>
    </row>
    <row r="713" spans="1:19" x14ac:dyDescent="0.2">
      <c r="A713" s="185"/>
      <c r="B713" s="175"/>
      <c r="C713" s="175"/>
      <c r="D713" s="202"/>
      <c r="G713" s="179"/>
      <c r="H713" s="357"/>
      <c r="I713" s="184"/>
      <c r="J713" s="179"/>
      <c r="K713" s="179"/>
      <c r="L713" s="179"/>
      <c r="M713" s="179"/>
      <c r="N713" s="179"/>
      <c r="O713" s="182"/>
      <c r="P713" s="179"/>
      <c r="Q713" s="179"/>
      <c r="R713" s="179"/>
      <c r="S713" s="179"/>
    </row>
    <row r="714" spans="1:19" x14ac:dyDescent="0.2">
      <c r="A714" s="185"/>
      <c r="B714" s="175"/>
      <c r="C714" s="175"/>
      <c r="D714" s="202"/>
      <c r="G714" s="179"/>
      <c r="H714" s="357"/>
      <c r="I714" s="184"/>
      <c r="J714" s="179"/>
      <c r="K714" s="179"/>
      <c r="L714" s="179"/>
      <c r="M714" s="179"/>
      <c r="N714" s="179"/>
      <c r="O714" s="182"/>
      <c r="P714" s="179"/>
      <c r="Q714" s="179"/>
      <c r="R714" s="179"/>
      <c r="S714" s="179"/>
    </row>
    <row r="715" spans="1:19" x14ac:dyDescent="0.2">
      <c r="A715" s="185"/>
      <c r="B715" s="175"/>
      <c r="C715" s="175"/>
      <c r="D715" s="202"/>
      <c r="G715" s="179"/>
      <c r="H715" s="357"/>
      <c r="I715" s="184"/>
      <c r="J715" s="179"/>
      <c r="K715" s="179"/>
      <c r="L715" s="179"/>
      <c r="M715" s="179"/>
      <c r="N715" s="179"/>
      <c r="O715" s="182"/>
      <c r="P715" s="179"/>
      <c r="Q715" s="179"/>
      <c r="R715" s="179"/>
      <c r="S715" s="179"/>
    </row>
    <row r="716" spans="1:19" x14ac:dyDescent="0.2">
      <c r="A716" s="185"/>
      <c r="B716" s="175"/>
      <c r="C716" s="175"/>
      <c r="D716" s="202"/>
      <c r="G716" s="179"/>
      <c r="H716" s="357"/>
      <c r="I716" s="184"/>
      <c r="J716" s="179"/>
      <c r="K716" s="179"/>
      <c r="L716" s="179"/>
      <c r="M716" s="179"/>
      <c r="N716" s="179"/>
      <c r="O716" s="182"/>
      <c r="P716" s="179"/>
      <c r="Q716" s="179"/>
      <c r="R716" s="179"/>
      <c r="S716" s="179"/>
    </row>
    <row r="717" spans="1:19" x14ac:dyDescent="0.2">
      <c r="A717" s="185"/>
      <c r="B717" s="175"/>
      <c r="C717" s="175"/>
      <c r="D717" s="202"/>
      <c r="G717" s="179"/>
      <c r="H717" s="357"/>
      <c r="I717" s="184"/>
      <c r="J717" s="179"/>
      <c r="K717" s="179"/>
      <c r="L717" s="179"/>
      <c r="M717" s="179"/>
      <c r="N717" s="179"/>
      <c r="O717" s="182"/>
      <c r="P717" s="179"/>
      <c r="Q717" s="179"/>
      <c r="R717" s="179"/>
      <c r="S717" s="179"/>
    </row>
    <row r="718" spans="1:19" x14ac:dyDescent="0.2">
      <c r="A718" s="185"/>
      <c r="B718" s="175"/>
      <c r="C718" s="175"/>
      <c r="D718" s="202"/>
      <c r="G718" s="179"/>
      <c r="H718" s="357"/>
      <c r="I718" s="184"/>
      <c r="J718" s="179"/>
      <c r="K718" s="179"/>
      <c r="L718" s="179"/>
      <c r="M718" s="179"/>
      <c r="N718" s="179"/>
      <c r="O718" s="182"/>
      <c r="P718" s="179"/>
      <c r="Q718" s="179"/>
      <c r="R718" s="179"/>
      <c r="S718" s="179"/>
    </row>
    <row r="719" spans="1:19" x14ac:dyDescent="0.2">
      <c r="A719" s="185"/>
      <c r="B719" s="175"/>
      <c r="C719" s="175"/>
      <c r="D719" s="202"/>
      <c r="G719" s="179"/>
      <c r="H719" s="357"/>
      <c r="I719" s="184"/>
      <c r="J719" s="179"/>
      <c r="K719" s="179"/>
      <c r="L719" s="179"/>
      <c r="M719" s="179"/>
      <c r="N719" s="179"/>
      <c r="O719" s="182"/>
      <c r="P719" s="179"/>
      <c r="Q719" s="179"/>
      <c r="R719" s="179"/>
      <c r="S719" s="179"/>
    </row>
    <row r="720" spans="1:19" x14ac:dyDescent="0.2">
      <c r="A720" s="185"/>
      <c r="B720" s="175"/>
      <c r="C720" s="175"/>
      <c r="D720" s="202"/>
      <c r="G720" s="179"/>
      <c r="H720" s="357"/>
      <c r="I720" s="184"/>
      <c r="J720" s="179"/>
      <c r="K720" s="179"/>
      <c r="L720" s="179"/>
      <c r="M720" s="179"/>
      <c r="N720" s="179"/>
      <c r="O720" s="182"/>
      <c r="P720" s="179"/>
      <c r="Q720" s="179"/>
      <c r="R720" s="179"/>
      <c r="S720" s="179"/>
    </row>
    <row r="721" spans="1:19" x14ac:dyDescent="0.2">
      <c r="A721" s="185"/>
      <c r="B721" s="175"/>
      <c r="C721" s="175"/>
      <c r="D721" s="202"/>
      <c r="G721" s="179"/>
      <c r="H721" s="357"/>
      <c r="I721" s="184"/>
      <c r="J721" s="179"/>
      <c r="K721" s="179"/>
      <c r="L721" s="179"/>
      <c r="M721" s="179"/>
      <c r="N721" s="179"/>
      <c r="O721" s="182"/>
      <c r="P721" s="179"/>
      <c r="Q721" s="179"/>
      <c r="R721" s="179"/>
      <c r="S721" s="179"/>
    </row>
    <row r="722" spans="1:19" x14ac:dyDescent="0.2">
      <c r="A722" s="185"/>
      <c r="B722" s="175"/>
      <c r="C722" s="175"/>
      <c r="D722" s="202"/>
      <c r="G722" s="179"/>
      <c r="H722" s="357"/>
      <c r="I722" s="184"/>
      <c r="J722" s="179"/>
      <c r="K722" s="179"/>
      <c r="L722" s="179"/>
      <c r="M722" s="179"/>
      <c r="N722" s="179"/>
      <c r="O722" s="182"/>
      <c r="P722" s="179"/>
      <c r="Q722" s="179"/>
      <c r="R722" s="179"/>
      <c r="S722" s="179"/>
    </row>
    <row r="723" spans="1:19" x14ac:dyDescent="0.2">
      <c r="A723" s="185"/>
      <c r="B723" s="175"/>
      <c r="C723" s="175"/>
      <c r="D723" s="202"/>
      <c r="G723" s="179"/>
      <c r="H723" s="357"/>
      <c r="I723" s="184"/>
      <c r="J723" s="179"/>
      <c r="K723" s="179"/>
      <c r="L723" s="179"/>
      <c r="M723" s="179"/>
      <c r="N723" s="179"/>
      <c r="O723" s="182"/>
      <c r="P723" s="179"/>
      <c r="Q723" s="179"/>
      <c r="R723" s="179"/>
      <c r="S723" s="179"/>
    </row>
    <row r="724" spans="1:19" x14ac:dyDescent="0.2">
      <c r="A724" s="185"/>
      <c r="B724" s="175"/>
      <c r="C724" s="175"/>
      <c r="D724" s="202"/>
      <c r="G724" s="179"/>
      <c r="H724" s="357"/>
      <c r="I724" s="184"/>
      <c r="J724" s="179"/>
      <c r="K724" s="179"/>
      <c r="L724" s="179"/>
      <c r="M724" s="179"/>
      <c r="N724" s="179"/>
      <c r="O724" s="182"/>
      <c r="P724" s="179"/>
      <c r="Q724" s="179"/>
      <c r="R724" s="179"/>
      <c r="S724" s="179"/>
    </row>
    <row r="725" spans="1:19" x14ac:dyDescent="0.2">
      <c r="A725" s="185"/>
      <c r="B725" s="175"/>
      <c r="C725" s="175"/>
      <c r="D725" s="202"/>
      <c r="G725" s="179"/>
      <c r="H725" s="357"/>
      <c r="I725" s="184"/>
      <c r="J725" s="179"/>
      <c r="K725" s="179"/>
      <c r="L725" s="179"/>
      <c r="M725" s="179"/>
      <c r="N725" s="179"/>
      <c r="O725" s="182"/>
      <c r="P725" s="179"/>
      <c r="Q725" s="179"/>
      <c r="R725" s="179"/>
      <c r="S725" s="179"/>
    </row>
    <row r="726" spans="1:19" x14ac:dyDescent="0.2">
      <c r="A726" s="185"/>
      <c r="B726" s="175"/>
      <c r="C726" s="175"/>
      <c r="D726" s="202"/>
      <c r="G726" s="179"/>
      <c r="H726" s="357"/>
      <c r="I726" s="184"/>
      <c r="J726" s="179"/>
      <c r="K726" s="179"/>
      <c r="L726" s="179"/>
      <c r="M726" s="179"/>
      <c r="N726" s="179"/>
      <c r="O726" s="182"/>
      <c r="P726" s="179"/>
      <c r="Q726" s="179"/>
      <c r="R726" s="179"/>
      <c r="S726" s="179"/>
    </row>
    <row r="727" spans="1:19" x14ac:dyDescent="0.2">
      <c r="A727" s="185"/>
      <c r="B727" s="175"/>
      <c r="C727" s="175"/>
      <c r="D727" s="202"/>
      <c r="G727" s="179"/>
      <c r="H727" s="357"/>
      <c r="I727" s="184"/>
      <c r="J727" s="179"/>
      <c r="K727" s="179"/>
      <c r="L727" s="179"/>
      <c r="M727" s="179"/>
      <c r="N727" s="179"/>
      <c r="O727" s="182"/>
      <c r="P727" s="179"/>
      <c r="Q727" s="179"/>
      <c r="R727" s="179"/>
      <c r="S727" s="179"/>
    </row>
    <row r="728" spans="1:19" x14ac:dyDescent="0.2">
      <c r="A728" s="185"/>
      <c r="B728" s="175"/>
      <c r="C728" s="175"/>
      <c r="D728" s="202"/>
      <c r="G728" s="179"/>
      <c r="H728" s="357"/>
      <c r="I728" s="184"/>
      <c r="J728" s="179"/>
      <c r="K728" s="179"/>
      <c r="L728" s="179"/>
      <c r="M728" s="179"/>
      <c r="N728" s="179"/>
      <c r="O728" s="182"/>
      <c r="P728" s="179"/>
      <c r="Q728" s="179"/>
      <c r="R728" s="179"/>
      <c r="S728" s="179"/>
    </row>
    <row r="729" spans="1:19" x14ac:dyDescent="0.2">
      <c r="A729" s="185"/>
      <c r="B729" s="175"/>
      <c r="C729" s="175"/>
      <c r="D729" s="202"/>
      <c r="G729" s="179"/>
      <c r="H729" s="357"/>
      <c r="I729" s="184"/>
      <c r="J729" s="179"/>
      <c r="K729" s="179"/>
      <c r="L729" s="179"/>
      <c r="M729" s="179"/>
      <c r="N729" s="179"/>
      <c r="O729" s="182"/>
      <c r="P729" s="179"/>
      <c r="Q729" s="179"/>
      <c r="R729" s="179"/>
      <c r="S729" s="179"/>
    </row>
    <row r="730" spans="1:19" x14ac:dyDescent="0.2">
      <c r="A730" s="185"/>
      <c r="B730" s="175"/>
      <c r="C730" s="175"/>
      <c r="D730" s="202"/>
      <c r="G730" s="179"/>
      <c r="H730" s="357"/>
      <c r="I730" s="184"/>
      <c r="J730" s="179"/>
      <c r="K730" s="179"/>
      <c r="L730" s="179"/>
      <c r="M730" s="179"/>
      <c r="N730" s="179"/>
      <c r="O730" s="182"/>
      <c r="P730" s="179"/>
      <c r="Q730" s="179"/>
      <c r="R730" s="179"/>
      <c r="S730" s="179"/>
    </row>
    <row r="731" spans="1:19" x14ac:dyDescent="0.2">
      <c r="A731" s="185"/>
      <c r="B731" s="175"/>
      <c r="C731" s="175"/>
      <c r="D731" s="202"/>
      <c r="G731" s="179"/>
      <c r="H731" s="357"/>
      <c r="I731" s="184"/>
      <c r="J731" s="179"/>
      <c r="K731" s="179"/>
      <c r="L731" s="179"/>
      <c r="M731" s="179"/>
      <c r="N731" s="179"/>
      <c r="O731" s="182"/>
      <c r="P731" s="179"/>
      <c r="Q731" s="179"/>
      <c r="R731" s="179"/>
      <c r="S731" s="179"/>
    </row>
    <row r="732" spans="1:19" x14ac:dyDescent="0.2">
      <c r="A732" s="185"/>
      <c r="B732" s="175"/>
      <c r="C732" s="175"/>
      <c r="D732" s="202"/>
      <c r="G732" s="179"/>
      <c r="H732" s="357"/>
      <c r="I732" s="184"/>
      <c r="J732" s="179"/>
      <c r="K732" s="179"/>
      <c r="L732" s="179"/>
      <c r="M732" s="179"/>
      <c r="N732" s="179"/>
      <c r="O732" s="182"/>
      <c r="P732" s="179"/>
      <c r="Q732" s="179"/>
      <c r="R732" s="179"/>
      <c r="S732" s="179"/>
    </row>
    <row r="733" spans="1:19" x14ac:dyDescent="0.2">
      <c r="A733" s="185"/>
      <c r="B733" s="175"/>
      <c r="C733" s="175"/>
      <c r="D733" s="202"/>
      <c r="G733" s="179"/>
      <c r="H733" s="357"/>
      <c r="I733" s="184"/>
      <c r="J733" s="179"/>
      <c r="K733" s="179"/>
      <c r="L733" s="179"/>
      <c r="M733" s="179"/>
      <c r="N733" s="179"/>
      <c r="O733" s="182"/>
      <c r="P733" s="179"/>
      <c r="Q733" s="179"/>
      <c r="R733" s="179"/>
      <c r="S733" s="179"/>
    </row>
    <row r="734" spans="1:19" x14ac:dyDescent="0.2">
      <c r="A734" s="185"/>
      <c r="B734" s="175"/>
      <c r="C734" s="175"/>
      <c r="D734" s="202"/>
      <c r="G734" s="179"/>
      <c r="H734" s="357"/>
      <c r="I734" s="184"/>
      <c r="J734" s="179"/>
      <c r="K734" s="179"/>
      <c r="L734" s="179"/>
      <c r="M734" s="179"/>
      <c r="N734" s="179"/>
      <c r="O734" s="182"/>
      <c r="P734" s="179"/>
      <c r="Q734" s="179"/>
      <c r="R734" s="179"/>
      <c r="S734" s="179"/>
    </row>
    <row r="735" spans="1:19" x14ac:dyDescent="0.2">
      <c r="A735" s="185"/>
      <c r="B735" s="175"/>
      <c r="C735" s="175"/>
      <c r="D735" s="202"/>
      <c r="G735" s="179"/>
      <c r="H735" s="357"/>
      <c r="I735" s="184"/>
      <c r="J735" s="179"/>
      <c r="K735" s="179"/>
      <c r="L735" s="179"/>
      <c r="M735" s="179"/>
      <c r="N735" s="179"/>
      <c r="O735" s="182"/>
      <c r="P735" s="179"/>
      <c r="Q735" s="179"/>
      <c r="R735" s="179"/>
      <c r="S735" s="179"/>
    </row>
    <row r="736" spans="1:19" x14ac:dyDescent="0.2">
      <c r="A736" s="185"/>
      <c r="B736" s="175"/>
      <c r="C736" s="175"/>
      <c r="D736" s="202"/>
      <c r="G736" s="179"/>
      <c r="H736" s="357"/>
      <c r="I736" s="184"/>
      <c r="J736" s="179"/>
      <c r="K736" s="179"/>
      <c r="L736" s="179"/>
      <c r="M736" s="179"/>
      <c r="N736" s="179"/>
      <c r="O736" s="182"/>
      <c r="P736" s="179"/>
      <c r="Q736" s="179"/>
      <c r="R736" s="179"/>
      <c r="S736" s="179"/>
    </row>
    <row r="737" spans="1:19" x14ac:dyDescent="0.2">
      <c r="A737" s="185"/>
      <c r="B737" s="175"/>
      <c r="C737" s="175"/>
      <c r="D737" s="202"/>
      <c r="G737" s="179"/>
      <c r="H737" s="357"/>
      <c r="I737" s="184"/>
      <c r="J737" s="179"/>
      <c r="K737" s="179"/>
      <c r="L737" s="179"/>
      <c r="M737" s="179"/>
      <c r="N737" s="179"/>
      <c r="O737" s="182"/>
      <c r="P737" s="179"/>
      <c r="Q737" s="179"/>
      <c r="R737" s="179"/>
      <c r="S737" s="179"/>
    </row>
    <row r="738" spans="1:19" x14ac:dyDescent="0.2">
      <c r="A738" s="185"/>
      <c r="B738" s="175"/>
      <c r="C738" s="175"/>
      <c r="D738" s="202"/>
      <c r="G738" s="179"/>
      <c r="H738" s="357"/>
      <c r="I738" s="184"/>
      <c r="J738" s="179"/>
      <c r="K738" s="179"/>
      <c r="L738" s="179"/>
      <c r="M738" s="179"/>
      <c r="N738" s="179"/>
      <c r="O738" s="182"/>
      <c r="P738" s="179"/>
      <c r="Q738" s="179"/>
      <c r="R738" s="179"/>
      <c r="S738" s="179"/>
    </row>
    <row r="739" spans="1:19" x14ac:dyDescent="0.2">
      <c r="A739" s="185"/>
      <c r="B739" s="175"/>
      <c r="C739" s="175"/>
      <c r="D739" s="202"/>
      <c r="G739" s="179"/>
      <c r="H739" s="357"/>
      <c r="I739" s="184"/>
      <c r="J739" s="179"/>
      <c r="K739" s="179"/>
      <c r="L739" s="179"/>
      <c r="M739" s="179"/>
      <c r="N739" s="179"/>
      <c r="O739" s="182"/>
      <c r="P739" s="179"/>
      <c r="Q739" s="179"/>
      <c r="R739" s="179"/>
      <c r="S739" s="179"/>
    </row>
    <row r="740" spans="1:19" x14ac:dyDescent="0.2">
      <c r="A740" s="185"/>
      <c r="B740" s="175"/>
      <c r="C740" s="175"/>
      <c r="D740" s="202"/>
      <c r="G740" s="179"/>
      <c r="H740" s="357"/>
      <c r="I740" s="184"/>
      <c r="J740" s="179"/>
      <c r="K740" s="179"/>
      <c r="L740" s="179"/>
      <c r="M740" s="179"/>
      <c r="N740" s="179"/>
      <c r="O740" s="182"/>
      <c r="P740" s="179"/>
      <c r="Q740" s="179"/>
      <c r="R740" s="179"/>
      <c r="S740" s="179"/>
    </row>
    <row r="741" spans="1:19" x14ac:dyDescent="0.2">
      <c r="A741" s="185"/>
      <c r="B741" s="175"/>
      <c r="C741" s="175"/>
      <c r="D741" s="202"/>
      <c r="G741" s="179"/>
      <c r="H741" s="357"/>
      <c r="I741" s="184"/>
      <c r="J741" s="179"/>
      <c r="K741" s="179"/>
      <c r="L741" s="179"/>
      <c r="M741" s="179"/>
      <c r="N741" s="179"/>
      <c r="O741" s="182"/>
      <c r="P741" s="179"/>
      <c r="Q741" s="179"/>
      <c r="R741" s="179"/>
      <c r="S741" s="179"/>
    </row>
    <row r="742" spans="1:19" x14ac:dyDescent="0.2">
      <c r="A742" s="185"/>
      <c r="B742" s="175"/>
      <c r="C742" s="175"/>
      <c r="D742" s="202"/>
      <c r="G742" s="179"/>
      <c r="H742" s="357"/>
      <c r="I742" s="184"/>
      <c r="J742" s="179"/>
      <c r="K742" s="179"/>
      <c r="L742" s="179"/>
      <c r="M742" s="179"/>
      <c r="N742" s="179"/>
      <c r="O742" s="182"/>
      <c r="P742" s="179"/>
      <c r="Q742" s="179"/>
      <c r="R742" s="179"/>
      <c r="S742" s="179"/>
    </row>
    <row r="743" spans="1:19" x14ac:dyDescent="0.2">
      <c r="A743" s="185"/>
      <c r="B743" s="175"/>
      <c r="C743" s="175"/>
      <c r="D743" s="202"/>
      <c r="G743" s="179"/>
      <c r="H743" s="357"/>
      <c r="I743" s="184"/>
      <c r="J743" s="179"/>
      <c r="K743" s="179"/>
      <c r="L743" s="179"/>
      <c r="M743" s="179"/>
      <c r="N743" s="179"/>
      <c r="O743" s="182"/>
      <c r="P743" s="179"/>
      <c r="Q743" s="179"/>
      <c r="R743" s="179"/>
      <c r="S743" s="179"/>
    </row>
    <row r="744" spans="1:19" x14ac:dyDescent="0.2">
      <c r="A744" s="185"/>
      <c r="B744" s="175"/>
      <c r="C744" s="175"/>
      <c r="D744" s="202"/>
      <c r="G744" s="179"/>
      <c r="H744" s="357"/>
      <c r="I744" s="184"/>
      <c r="J744" s="179"/>
      <c r="K744" s="179"/>
      <c r="L744" s="179"/>
      <c r="M744" s="179"/>
      <c r="N744" s="179"/>
      <c r="O744" s="182"/>
      <c r="P744" s="179"/>
      <c r="Q744" s="179"/>
      <c r="R744" s="179"/>
      <c r="S744" s="179"/>
    </row>
    <row r="745" spans="1:19" x14ac:dyDescent="0.2">
      <c r="A745" s="185"/>
      <c r="B745" s="175"/>
      <c r="C745" s="175"/>
      <c r="D745" s="202"/>
      <c r="G745" s="179"/>
      <c r="H745" s="357"/>
      <c r="I745" s="184"/>
      <c r="J745" s="179"/>
      <c r="K745" s="179"/>
      <c r="L745" s="179"/>
      <c r="M745" s="179"/>
      <c r="N745" s="179"/>
      <c r="O745" s="182"/>
      <c r="P745" s="179"/>
      <c r="Q745" s="179"/>
      <c r="R745" s="179"/>
      <c r="S745" s="179"/>
    </row>
    <row r="746" spans="1:19" x14ac:dyDescent="0.2">
      <c r="A746" s="185"/>
      <c r="B746" s="175"/>
      <c r="C746" s="175"/>
      <c r="D746" s="202"/>
      <c r="G746" s="179"/>
      <c r="H746" s="357"/>
      <c r="I746" s="184"/>
      <c r="J746" s="179"/>
      <c r="K746" s="179"/>
      <c r="L746" s="179"/>
      <c r="M746" s="179"/>
      <c r="N746" s="179"/>
      <c r="O746" s="182"/>
      <c r="P746" s="179"/>
      <c r="Q746" s="179"/>
      <c r="R746" s="179"/>
      <c r="S746" s="179"/>
    </row>
    <row r="747" spans="1:19" x14ac:dyDescent="0.2">
      <c r="A747" s="185"/>
      <c r="B747" s="175"/>
      <c r="C747" s="175"/>
      <c r="D747" s="202"/>
      <c r="G747" s="179"/>
      <c r="H747" s="357"/>
      <c r="I747" s="184"/>
      <c r="J747" s="179"/>
      <c r="K747" s="179"/>
      <c r="L747" s="179"/>
      <c r="M747" s="179"/>
      <c r="N747" s="179"/>
      <c r="O747" s="182"/>
      <c r="P747" s="179"/>
      <c r="Q747" s="179"/>
      <c r="R747" s="179"/>
      <c r="S747" s="179"/>
    </row>
    <row r="748" spans="1:19" x14ac:dyDescent="0.2">
      <c r="A748" s="185"/>
      <c r="B748" s="175"/>
      <c r="C748" s="175"/>
      <c r="D748" s="202"/>
      <c r="G748" s="179"/>
      <c r="H748" s="357"/>
      <c r="I748" s="184"/>
      <c r="J748" s="179"/>
      <c r="K748" s="179"/>
      <c r="L748" s="179"/>
      <c r="M748" s="179"/>
      <c r="N748" s="179"/>
      <c r="O748" s="182"/>
      <c r="P748" s="179"/>
      <c r="Q748" s="179"/>
      <c r="R748" s="179"/>
      <c r="S748" s="179"/>
    </row>
    <row r="749" spans="1:19" x14ac:dyDescent="0.2">
      <c r="A749" s="185"/>
      <c r="B749" s="175"/>
      <c r="C749" s="175"/>
      <c r="D749" s="202"/>
      <c r="G749" s="179"/>
      <c r="H749" s="357"/>
      <c r="I749" s="184"/>
      <c r="J749" s="179"/>
      <c r="K749" s="179"/>
      <c r="L749" s="179"/>
      <c r="M749" s="179"/>
      <c r="N749" s="179"/>
      <c r="O749" s="182"/>
      <c r="P749" s="179"/>
      <c r="Q749" s="179"/>
      <c r="R749" s="179"/>
      <c r="S749" s="179"/>
    </row>
    <row r="750" spans="1:19" x14ac:dyDescent="0.2">
      <c r="A750" s="185"/>
      <c r="B750" s="175"/>
      <c r="C750" s="175"/>
      <c r="D750" s="202"/>
      <c r="G750" s="179"/>
      <c r="H750" s="357"/>
      <c r="I750" s="184"/>
      <c r="J750" s="179"/>
      <c r="K750" s="179"/>
      <c r="L750" s="179"/>
      <c r="M750" s="179"/>
      <c r="N750" s="179"/>
      <c r="O750" s="182"/>
      <c r="P750" s="179"/>
      <c r="Q750" s="179"/>
      <c r="R750" s="179"/>
      <c r="S750" s="179"/>
    </row>
    <row r="751" spans="1:19" x14ac:dyDescent="0.2">
      <c r="A751" s="185"/>
      <c r="B751" s="175"/>
      <c r="C751" s="175"/>
      <c r="D751" s="202"/>
      <c r="G751" s="179"/>
      <c r="H751" s="357"/>
      <c r="I751" s="184"/>
      <c r="J751" s="179"/>
      <c r="K751" s="179"/>
      <c r="L751" s="179"/>
      <c r="M751" s="179"/>
      <c r="N751" s="179"/>
      <c r="O751" s="182"/>
      <c r="P751" s="179"/>
      <c r="Q751" s="179"/>
      <c r="R751" s="179"/>
      <c r="S751" s="179"/>
    </row>
    <row r="752" spans="1:19" x14ac:dyDescent="0.2">
      <c r="A752" s="185"/>
      <c r="B752" s="175"/>
      <c r="C752" s="175"/>
      <c r="D752" s="202"/>
      <c r="G752" s="179"/>
      <c r="H752" s="357"/>
      <c r="I752" s="184"/>
      <c r="J752" s="179"/>
      <c r="K752" s="179"/>
      <c r="L752" s="179"/>
      <c r="M752" s="179"/>
      <c r="N752" s="179"/>
      <c r="O752" s="182"/>
      <c r="P752" s="179"/>
      <c r="Q752" s="179"/>
      <c r="R752" s="179"/>
      <c r="S752" s="179"/>
    </row>
    <row r="753" spans="1:19" x14ac:dyDescent="0.2">
      <c r="A753" s="185"/>
      <c r="B753" s="175"/>
      <c r="C753" s="175"/>
      <c r="D753" s="202"/>
      <c r="G753" s="179"/>
      <c r="H753" s="357"/>
      <c r="I753" s="184"/>
      <c r="J753" s="179"/>
      <c r="K753" s="179"/>
      <c r="L753" s="179"/>
      <c r="M753" s="179"/>
      <c r="N753" s="179"/>
      <c r="O753" s="182"/>
      <c r="P753" s="179"/>
      <c r="Q753" s="179"/>
      <c r="R753" s="179"/>
      <c r="S753" s="179"/>
    </row>
    <row r="754" spans="1:19" x14ac:dyDescent="0.2">
      <c r="A754" s="185"/>
      <c r="B754" s="175"/>
      <c r="C754" s="175"/>
      <c r="D754" s="202"/>
      <c r="G754" s="179"/>
      <c r="H754" s="357"/>
      <c r="I754" s="184"/>
      <c r="J754" s="179"/>
      <c r="K754" s="179"/>
      <c r="L754" s="179"/>
      <c r="M754" s="179"/>
      <c r="N754" s="179"/>
      <c r="O754" s="182"/>
      <c r="P754" s="179"/>
      <c r="Q754" s="179"/>
      <c r="R754" s="179"/>
      <c r="S754" s="179"/>
    </row>
    <row r="755" spans="1:19" x14ac:dyDescent="0.2">
      <c r="A755" s="185"/>
      <c r="B755" s="175"/>
      <c r="C755" s="175"/>
      <c r="D755" s="202"/>
      <c r="G755" s="179"/>
      <c r="H755" s="357"/>
      <c r="I755" s="184"/>
      <c r="J755" s="179"/>
      <c r="K755" s="179"/>
      <c r="L755" s="179"/>
      <c r="M755" s="179"/>
      <c r="N755" s="179"/>
      <c r="O755" s="182"/>
      <c r="P755" s="179"/>
      <c r="Q755" s="179"/>
      <c r="R755" s="179"/>
      <c r="S755" s="179"/>
    </row>
    <row r="756" spans="1:19" x14ac:dyDescent="0.2">
      <c r="A756" s="185"/>
      <c r="B756" s="175"/>
      <c r="C756" s="175"/>
      <c r="D756" s="202"/>
      <c r="G756" s="179"/>
      <c r="H756" s="357"/>
      <c r="I756" s="184"/>
      <c r="J756" s="179"/>
      <c r="K756" s="179"/>
      <c r="L756" s="179"/>
      <c r="M756" s="179"/>
      <c r="N756" s="179"/>
      <c r="O756" s="182"/>
      <c r="P756" s="179"/>
      <c r="Q756" s="179"/>
      <c r="R756" s="179"/>
      <c r="S756" s="179"/>
    </row>
    <row r="757" spans="1:19" x14ac:dyDescent="0.2">
      <c r="A757" s="185"/>
      <c r="B757" s="175"/>
      <c r="C757" s="175"/>
      <c r="D757" s="202"/>
      <c r="G757" s="179"/>
      <c r="H757" s="357"/>
      <c r="I757" s="184"/>
      <c r="J757" s="179"/>
      <c r="K757" s="179"/>
      <c r="L757" s="179"/>
      <c r="M757" s="179"/>
      <c r="N757" s="179"/>
      <c r="O757" s="182"/>
      <c r="P757" s="179"/>
      <c r="Q757" s="179"/>
      <c r="R757" s="179"/>
      <c r="S757" s="179"/>
    </row>
    <row r="758" spans="1:19" x14ac:dyDescent="0.2">
      <c r="A758" s="185"/>
      <c r="B758" s="175"/>
      <c r="C758" s="175"/>
      <c r="D758" s="202"/>
      <c r="G758" s="179"/>
      <c r="H758" s="357"/>
      <c r="I758" s="184"/>
      <c r="J758" s="179"/>
      <c r="K758" s="179"/>
      <c r="L758" s="179"/>
      <c r="M758" s="179"/>
      <c r="N758" s="179"/>
      <c r="O758" s="182"/>
      <c r="P758" s="179"/>
      <c r="Q758" s="179"/>
      <c r="R758" s="179"/>
      <c r="S758" s="179"/>
    </row>
    <row r="759" spans="1:19" x14ac:dyDescent="0.2">
      <c r="A759" s="185"/>
      <c r="B759" s="175"/>
      <c r="C759" s="175"/>
      <c r="D759" s="202"/>
      <c r="G759" s="179"/>
      <c r="H759" s="357"/>
      <c r="I759" s="184"/>
      <c r="J759" s="179"/>
      <c r="K759" s="179"/>
      <c r="L759" s="179"/>
      <c r="M759" s="179"/>
      <c r="N759" s="179"/>
      <c r="O759" s="182"/>
      <c r="P759" s="179"/>
      <c r="Q759" s="179"/>
      <c r="R759" s="179"/>
      <c r="S759" s="179"/>
    </row>
    <row r="760" spans="1:19" x14ac:dyDescent="0.2">
      <c r="A760" s="185"/>
      <c r="B760" s="175"/>
      <c r="C760" s="175"/>
      <c r="D760" s="202"/>
      <c r="G760" s="179"/>
      <c r="H760" s="357"/>
      <c r="I760" s="184"/>
      <c r="J760" s="179"/>
      <c r="K760" s="179"/>
      <c r="L760" s="179"/>
      <c r="M760" s="179"/>
      <c r="N760" s="179"/>
      <c r="O760" s="182"/>
      <c r="P760" s="179"/>
      <c r="Q760" s="179"/>
      <c r="R760" s="179"/>
      <c r="S760" s="179"/>
    </row>
    <row r="761" spans="1:19" x14ac:dyDescent="0.2">
      <c r="A761" s="185"/>
      <c r="B761" s="175"/>
      <c r="C761" s="175"/>
      <c r="D761" s="202"/>
      <c r="G761" s="179"/>
      <c r="H761" s="357"/>
      <c r="I761" s="184"/>
      <c r="J761" s="179"/>
      <c r="K761" s="179"/>
      <c r="L761" s="179"/>
      <c r="M761" s="179"/>
      <c r="N761" s="179"/>
      <c r="O761" s="182"/>
      <c r="P761" s="179"/>
      <c r="Q761" s="179"/>
      <c r="R761" s="179"/>
      <c r="S761" s="179"/>
    </row>
    <row r="762" spans="1:19" x14ac:dyDescent="0.2">
      <c r="A762" s="185"/>
      <c r="B762" s="175"/>
      <c r="C762" s="175"/>
      <c r="D762" s="202"/>
      <c r="G762" s="179"/>
      <c r="H762" s="357"/>
      <c r="I762" s="184"/>
      <c r="J762" s="179"/>
      <c r="K762" s="179"/>
      <c r="L762" s="179"/>
      <c r="M762" s="179"/>
      <c r="N762" s="179"/>
      <c r="O762" s="182"/>
      <c r="P762" s="179"/>
      <c r="Q762" s="179"/>
      <c r="R762" s="179"/>
      <c r="S762" s="179"/>
    </row>
    <row r="763" spans="1:19" x14ac:dyDescent="0.2">
      <c r="A763" s="185"/>
      <c r="B763" s="175"/>
      <c r="C763" s="175"/>
      <c r="D763" s="202"/>
      <c r="G763" s="179"/>
      <c r="H763" s="357"/>
      <c r="I763" s="184"/>
      <c r="J763" s="179"/>
      <c r="K763" s="179"/>
      <c r="L763" s="179"/>
      <c r="M763" s="179"/>
      <c r="N763" s="179"/>
      <c r="O763" s="182"/>
      <c r="P763" s="179"/>
      <c r="Q763" s="179"/>
      <c r="R763" s="179"/>
      <c r="S763" s="179"/>
    </row>
    <row r="764" spans="1:19" x14ac:dyDescent="0.2">
      <c r="A764" s="185"/>
      <c r="B764" s="175"/>
      <c r="C764" s="175"/>
      <c r="D764" s="202"/>
      <c r="G764" s="179"/>
      <c r="H764" s="357"/>
      <c r="I764" s="184"/>
      <c r="J764" s="179"/>
      <c r="K764" s="179"/>
      <c r="L764" s="179"/>
      <c r="M764" s="179"/>
      <c r="N764" s="179"/>
      <c r="O764" s="182"/>
      <c r="P764" s="179"/>
      <c r="Q764" s="179"/>
      <c r="R764" s="179"/>
      <c r="S764" s="179"/>
    </row>
    <row r="765" spans="1:19" x14ac:dyDescent="0.2">
      <c r="A765" s="185"/>
      <c r="B765" s="175"/>
      <c r="C765" s="175"/>
      <c r="D765" s="202"/>
      <c r="G765" s="179"/>
      <c r="H765" s="357"/>
      <c r="I765" s="184"/>
      <c r="J765" s="179"/>
      <c r="K765" s="179"/>
      <c r="L765" s="179"/>
      <c r="M765" s="179"/>
      <c r="N765" s="179"/>
      <c r="O765" s="182"/>
      <c r="P765" s="179"/>
      <c r="Q765" s="179"/>
      <c r="R765" s="179"/>
      <c r="S765" s="179"/>
    </row>
    <row r="766" spans="1:19" x14ac:dyDescent="0.2">
      <c r="A766" s="185"/>
      <c r="B766" s="175"/>
      <c r="C766" s="175"/>
      <c r="D766" s="202"/>
      <c r="G766" s="179"/>
      <c r="H766" s="183"/>
      <c r="I766" s="184"/>
      <c r="J766" s="179"/>
      <c r="K766" s="179"/>
      <c r="L766" s="179"/>
      <c r="M766" s="179"/>
      <c r="N766" s="179"/>
      <c r="O766" s="182"/>
      <c r="P766" s="179"/>
      <c r="Q766" s="179"/>
      <c r="R766" s="179"/>
      <c r="S766" s="179"/>
    </row>
    <row r="767" spans="1:19" x14ac:dyDescent="0.2">
      <c r="A767" s="185"/>
      <c r="B767" s="175"/>
      <c r="C767" s="175"/>
      <c r="D767" s="202"/>
      <c r="G767" s="179"/>
      <c r="H767" s="183"/>
      <c r="I767" s="184"/>
      <c r="J767" s="179"/>
      <c r="K767" s="179"/>
      <c r="L767" s="179"/>
      <c r="M767" s="179"/>
      <c r="N767" s="179"/>
      <c r="O767" s="182"/>
      <c r="P767" s="179"/>
      <c r="Q767" s="179"/>
      <c r="R767" s="179"/>
      <c r="S767" s="179"/>
    </row>
    <row r="768" spans="1:19" x14ac:dyDescent="0.2">
      <c r="A768" s="185"/>
      <c r="B768" s="175"/>
      <c r="C768" s="175"/>
      <c r="D768" s="202"/>
      <c r="G768" s="179"/>
      <c r="H768" s="183"/>
      <c r="I768" s="184"/>
      <c r="J768" s="179"/>
      <c r="K768" s="179"/>
      <c r="L768" s="179"/>
      <c r="M768" s="179"/>
      <c r="N768" s="179"/>
      <c r="O768" s="182"/>
      <c r="P768" s="179"/>
      <c r="Q768" s="179"/>
      <c r="R768" s="179"/>
      <c r="S768" s="179"/>
    </row>
    <row r="769" spans="1:19" x14ac:dyDescent="0.2">
      <c r="A769" s="185"/>
      <c r="B769" s="175"/>
      <c r="C769" s="175"/>
      <c r="D769" s="202"/>
      <c r="G769" s="179"/>
      <c r="H769" s="183"/>
      <c r="I769" s="184"/>
      <c r="J769" s="179"/>
      <c r="K769" s="179"/>
      <c r="L769" s="179"/>
      <c r="M769" s="179"/>
      <c r="N769" s="179"/>
      <c r="O769" s="182"/>
      <c r="P769" s="179"/>
      <c r="Q769" s="179"/>
      <c r="R769" s="179"/>
      <c r="S769" s="179"/>
    </row>
    <row r="770" spans="1:19" x14ac:dyDescent="0.2">
      <c r="A770" s="185"/>
      <c r="B770" s="175"/>
      <c r="C770" s="175"/>
      <c r="D770" s="202"/>
      <c r="G770" s="179"/>
      <c r="H770" s="183"/>
      <c r="I770" s="184"/>
      <c r="J770" s="179"/>
      <c r="K770" s="179"/>
      <c r="L770" s="179"/>
      <c r="M770" s="179"/>
      <c r="N770" s="179"/>
      <c r="O770" s="182"/>
      <c r="P770" s="179"/>
      <c r="Q770" s="179"/>
      <c r="R770" s="179"/>
      <c r="S770" s="179"/>
    </row>
    <row r="771" spans="1:19" x14ac:dyDescent="0.2">
      <c r="A771" s="185"/>
      <c r="B771" s="175"/>
      <c r="C771" s="175"/>
      <c r="D771" s="202"/>
      <c r="G771" s="179"/>
      <c r="H771" s="183"/>
      <c r="I771" s="184"/>
      <c r="J771" s="179"/>
      <c r="K771" s="179"/>
      <c r="L771" s="179"/>
      <c r="M771" s="179"/>
      <c r="N771" s="179"/>
      <c r="O771" s="182"/>
      <c r="P771" s="179"/>
      <c r="Q771" s="179"/>
      <c r="R771" s="179"/>
      <c r="S771" s="179"/>
    </row>
    <row r="772" spans="1:19" x14ac:dyDescent="0.2">
      <c r="A772" s="185"/>
      <c r="B772" s="175"/>
      <c r="C772" s="175"/>
      <c r="D772" s="202"/>
      <c r="G772" s="179"/>
      <c r="H772" s="183"/>
      <c r="I772" s="184"/>
      <c r="J772" s="179"/>
      <c r="K772" s="179"/>
      <c r="L772" s="179"/>
      <c r="M772" s="179"/>
      <c r="N772" s="179"/>
      <c r="O772" s="182"/>
      <c r="P772" s="179"/>
      <c r="Q772" s="179"/>
      <c r="R772" s="179"/>
      <c r="S772" s="179"/>
    </row>
    <row r="773" spans="1:19" x14ac:dyDescent="0.2">
      <c r="A773" s="185"/>
      <c r="B773" s="175"/>
      <c r="C773" s="175"/>
      <c r="D773" s="202"/>
      <c r="G773" s="179"/>
      <c r="H773" s="183"/>
      <c r="I773" s="184"/>
      <c r="J773" s="179"/>
      <c r="K773" s="179"/>
      <c r="L773" s="179"/>
      <c r="M773" s="179"/>
      <c r="N773" s="179"/>
      <c r="O773" s="182"/>
      <c r="P773" s="179"/>
      <c r="Q773" s="179"/>
      <c r="R773" s="179"/>
      <c r="S773" s="179"/>
    </row>
    <row r="774" spans="1:19" x14ac:dyDescent="0.2">
      <c r="A774" s="185"/>
      <c r="B774" s="175"/>
      <c r="C774" s="175"/>
      <c r="D774" s="202"/>
      <c r="G774" s="179"/>
      <c r="H774" s="183"/>
      <c r="I774" s="184"/>
      <c r="J774" s="179"/>
      <c r="K774" s="179"/>
      <c r="L774" s="179"/>
      <c r="M774" s="179"/>
      <c r="N774" s="179"/>
      <c r="O774" s="182"/>
      <c r="P774" s="179"/>
      <c r="Q774" s="179"/>
      <c r="R774" s="179"/>
      <c r="S774" s="179"/>
    </row>
    <row r="775" spans="1:19" x14ac:dyDescent="0.2">
      <c r="A775" s="185"/>
      <c r="B775" s="175"/>
      <c r="C775" s="175"/>
      <c r="D775" s="202"/>
      <c r="G775" s="179"/>
      <c r="H775" s="183"/>
      <c r="I775" s="184"/>
      <c r="J775" s="179"/>
      <c r="K775" s="179"/>
      <c r="L775" s="179"/>
      <c r="M775" s="179"/>
      <c r="N775" s="179"/>
      <c r="O775" s="182"/>
      <c r="P775" s="179"/>
      <c r="Q775" s="179"/>
      <c r="R775" s="179"/>
      <c r="S775" s="179"/>
    </row>
    <row r="776" spans="1:19" x14ac:dyDescent="0.2">
      <c r="A776" s="185"/>
      <c r="B776" s="175"/>
      <c r="C776" s="175"/>
      <c r="D776" s="202"/>
      <c r="G776" s="179"/>
      <c r="H776" s="183"/>
      <c r="I776" s="184"/>
      <c r="J776" s="179"/>
      <c r="K776" s="179"/>
      <c r="L776" s="179"/>
      <c r="M776" s="179"/>
      <c r="N776" s="179"/>
      <c r="O776" s="182"/>
      <c r="P776" s="179"/>
      <c r="Q776" s="179"/>
      <c r="R776" s="179"/>
      <c r="S776" s="179"/>
    </row>
    <row r="777" spans="1:19" x14ac:dyDescent="0.2">
      <c r="A777" s="185"/>
      <c r="B777" s="175"/>
      <c r="C777" s="175"/>
      <c r="D777" s="202"/>
      <c r="G777" s="179"/>
      <c r="H777" s="183"/>
      <c r="I777" s="184"/>
      <c r="J777" s="179"/>
      <c r="K777" s="179"/>
      <c r="L777" s="179"/>
      <c r="M777" s="179"/>
      <c r="N777" s="179"/>
      <c r="O777" s="182"/>
      <c r="P777" s="179"/>
      <c r="Q777" s="179"/>
      <c r="R777" s="179"/>
      <c r="S777" s="179"/>
    </row>
    <row r="778" spans="1:19" x14ac:dyDescent="0.2">
      <c r="A778" s="185"/>
      <c r="B778" s="175"/>
      <c r="C778" s="175"/>
      <c r="D778" s="202"/>
      <c r="G778" s="179"/>
      <c r="H778" s="183"/>
      <c r="I778" s="184"/>
      <c r="J778" s="179"/>
      <c r="K778" s="179"/>
      <c r="L778" s="179"/>
      <c r="M778" s="179"/>
      <c r="N778" s="179"/>
      <c r="O778" s="182"/>
      <c r="P778" s="179"/>
      <c r="Q778" s="179"/>
      <c r="R778" s="179"/>
      <c r="S778" s="179"/>
    </row>
    <row r="779" spans="1:19" x14ac:dyDescent="0.2">
      <c r="A779" s="185"/>
      <c r="B779" s="175"/>
      <c r="C779" s="175"/>
      <c r="D779" s="202"/>
      <c r="G779" s="179"/>
      <c r="H779" s="183"/>
      <c r="I779" s="184"/>
      <c r="J779" s="179"/>
      <c r="K779" s="179"/>
      <c r="L779" s="179"/>
      <c r="M779" s="179"/>
      <c r="N779" s="179"/>
      <c r="O779" s="182"/>
      <c r="P779" s="179"/>
      <c r="Q779" s="179"/>
      <c r="R779" s="179"/>
      <c r="S779" s="179"/>
    </row>
    <row r="780" spans="1:19" x14ac:dyDescent="0.2">
      <c r="A780" s="185"/>
      <c r="B780" s="175"/>
      <c r="C780" s="175"/>
      <c r="D780" s="202"/>
      <c r="G780" s="179"/>
      <c r="H780" s="183"/>
      <c r="I780" s="184"/>
      <c r="J780" s="179"/>
      <c r="K780" s="179"/>
      <c r="L780" s="179"/>
      <c r="M780" s="179"/>
      <c r="N780" s="179"/>
      <c r="O780" s="182"/>
      <c r="P780" s="179"/>
      <c r="Q780" s="179"/>
      <c r="R780" s="179"/>
      <c r="S780" s="179"/>
    </row>
    <row r="781" spans="1:19" x14ac:dyDescent="0.2">
      <c r="A781" s="185"/>
      <c r="B781" s="175"/>
      <c r="C781" s="175"/>
      <c r="D781" s="202"/>
      <c r="G781" s="179"/>
      <c r="H781" s="183"/>
      <c r="I781" s="184"/>
      <c r="J781" s="179"/>
      <c r="K781" s="179"/>
      <c r="L781" s="179"/>
      <c r="M781" s="179"/>
      <c r="N781" s="179"/>
      <c r="O781" s="182"/>
      <c r="P781" s="179"/>
      <c r="Q781" s="179"/>
      <c r="R781" s="179"/>
      <c r="S781" s="179"/>
    </row>
    <row r="782" spans="1:19" x14ac:dyDescent="0.2">
      <c r="A782" s="185"/>
      <c r="B782" s="175"/>
      <c r="C782" s="175"/>
      <c r="D782" s="202"/>
      <c r="G782" s="179"/>
      <c r="H782" s="183"/>
      <c r="I782" s="184"/>
      <c r="J782" s="179"/>
      <c r="K782" s="179"/>
      <c r="L782" s="179"/>
      <c r="M782" s="179"/>
      <c r="N782" s="179"/>
      <c r="O782" s="182"/>
      <c r="P782" s="179"/>
      <c r="Q782" s="179"/>
      <c r="R782" s="179"/>
      <c r="S782" s="179"/>
    </row>
    <row r="783" spans="1:19" x14ac:dyDescent="0.2">
      <c r="A783" s="185"/>
      <c r="B783" s="175"/>
      <c r="C783" s="175"/>
      <c r="D783" s="202"/>
      <c r="G783" s="179"/>
      <c r="H783" s="183"/>
      <c r="I783" s="184"/>
      <c r="J783" s="179"/>
      <c r="K783" s="179"/>
      <c r="L783" s="179"/>
      <c r="M783" s="179"/>
      <c r="N783" s="179"/>
      <c r="O783" s="182"/>
      <c r="P783" s="179"/>
      <c r="Q783" s="179"/>
      <c r="R783" s="179"/>
      <c r="S783" s="179"/>
    </row>
    <row r="784" spans="1:19" x14ac:dyDescent="0.2">
      <c r="A784" s="185"/>
      <c r="B784" s="175"/>
      <c r="C784" s="175"/>
      <c r="D784" s="202"/>
      <c r="G784" s="179"/>
      <c r="H784" s="183"/>
      <c r="I784" s="184"/>
      <c r="J784" s="179"/>
      <c r="K784" s="179"/>
      <c r="L784" s="179"/>
      <c r="M784" s="179"/>
      <c r="N784" s="179"/>
      <c r="O784" s="182"/>
      <c r="P784" s="179"/>
      <c r="Q784" s="179"/>
      <c r="R784" s="179"/>
      <c r="S784" s="179"/>
    </row>
    <row r="785" spans="1:19" x14ac:dyDescent="0.2">
      <c r="A785" s="185"/>
      <c r="B785" s="175"/>
      <c r="C785" s="175"/>
      <c r="D785" s="202"/>
      <c r="G785" s="179"/>
      <c r="H785" s="183"/>
      <c r="I785" s="184"/>
      <c r="J785" s="179"/>
      <c r="K785" s="179"/>
      <c r="L785" s="179"/>
      <c r="M785" s="179"/>
      <c r="N785" s="179"/>
      <c r="O785" s="182"/>
      <c r="P785" s="179"/>
      <c r="Q785" s="179"/>
      <c r="R785" s="179"/>
      <c r="S785" s="179"/>
    </row>
    <row r="786" spans="1:19" x14ac:dyDescent="0.2">
      <c r="A786" s="185"/>
      <c r="B786" s="175"/>
      <c r="C786" s="175"/>
      <c r="D786" s="202"/>
      <c r="G786" s="179"/>
      <c r="H786" s="183"/>
      <c r="I786" s="184"/>
      <c r="J786" s="179"/>
      <c r="K786" s="179"/>
      <c r="L786" s="179"/>
      <c r="M786" s="179"/>
      <c r="N786" s="179"/>
      <c r="O786" s="182"/>
      <c r="P786" s="179"/>
      <c r="Q786" s="179"/>
      <c r="R786" s="179"/>
      <c r="S786" s="179"/>
    </row>
    <row r="787" spans="1:19" x14ac:dyDescent="0.2">
      <c r="A787" s="185"/>
      <c r="B787" s="175"/>
      <c r="C787" s="175"/>
      <c r="D787" s="202"/>
      <c r="G787" s="179"/>
      <c r="H787" s="183"/>
      <c r="I787" s="184"/>
      <c r="J787" s="179"/>
      <c r="K787" s="179"/>
      <c r="L787" s="179"/>
      <c r="M787" s="179"/>
      <c r="N787" s="179"/>
      <c r="O787" s="182"/>
      <c r="P787" s="179"/>
      <c r="Q787" s="179"/>
      <c r="R787" s="179"/>
      <c r="S787" s="179"/>
    </row>
    <row r="788" spans="1:19" x14ac:dyDescent="0.2">
      <c r="A788" s="185"/>
      <c r="B788" s="175"/>
      <c r="C788" s="175"/>
      <c r="D788" s="202"/>
      <c r="G788" s="179"/>
      <c r="H788" s="183"/>
      <c r="I788" s="184"/>
      <c r="J788" s="179"/>
      <c r="K788" s="179"/>
      <c r="L788" s="179"/>
      <c r="M788" s="179"/>
      <c r="N788" s="179"/>
      <c r="O788" s="182"/>
      <c r="P788" s="179"/>
      <c r="Q788" s="179"/>
      <c r="R788" s="179"/>
      <c r="S788" s="179"/>
    </row>
    <row r="789" spans="1:19" x14ac:dyDescent="0.2">
      <c r="A789" s="185"/>
      <c r="B789" s="175"/>
      <c r="C789" s="175"/>
      <c r="D789" s="202"/>
      <c r="G789" s="179"/>
      <c r="H789" s="183"/>
      <c r="I789" s="184"/>
      <c r="J789" s="179"/>
      <c r="K789" s="179"/>
      <c r="L789" s="179"/>
      <c r="M789" s="179"/>
      <c r="N789" s="179"/>
      <c r="O789" s="182"/>
      <c r="P789" s="179"/>
      <c r="Q789" s="179"/>
      <c r="R789" s="179"/>
      <c r="S789" s="179"/>
    </row>
    <row r="790" spans="1:19" x14ac:dyDescent="0.2">
      <c r="A790" s="185"/>
      <c r="B790" s="175"/>
      <c r="C790" s="175"/>
      <c r="D790" s="202"/>
      <c r="G790" s="179"/>
      <c r="H790" s="183"/>
      <c r="I790" s="184"/>
      <c r="J790" s="179"/>
      <c r="K790" s="179"/>
      <c r="L790" s="179"/>
      <c r="M790" s="179"/>
      <c r="N790" s="179"/>
      <c r="O790" s="182"/>
      <c r="P790" s="179"/>
      <c r="Q790" s="179"/>
      <c r="R790" s="179"/>
      <c r="S790" s="179"/>
    </row>
    <row r="791" spans="1:19" x14ac:dyDescent="0.2">
      <c r="A791" s="185"/>
      <c r="B791" s="175"/>
      <c r="C791" s="175"/>
      <c r="D791" s="202"/>
      <c r="G791" s="179"/>
      <c r="H791" s="183"/>
      <c r="I791" s="184"/>
      <c r="J791" s="179"/>
      <c r="K791" s="179"/>
      <c r="L791" s="179"/>
      <c r="M791" s="179"/>
      <c r="N791" s="179"/>
      <c r="O791" s="182"/>
      <c r="P791" s="179"/>
      <c r="Q791" s="179"/>
      <c r="R791" s="179"/>
      <c r="S791" s="179"/>
    </row>
    <row r="792" spans="1:19" x14ac:dyDescent="0.2">
      <c r="A792" s="185"/>
      <c r="B792" s="175"/>
      <c r="C792" s="175"/>
      <c r="D792" s="202"/>
      <c r="G792" s="179"/>
      <c r="H792" s="183"/>
      <c r="I792" s="184"/>
      <c r="J792" s="179"/>
      <c r="K792" s="179"/>
      <c r="L792" s="179"/>
      <c r="M792" s="179"/>
      <c r="N792" s="179"/>
      <c r="O792" s="182"/>
      <c r="P792" s="179"/>
      <c r="Q792" s="179"/>
      <c r="R792" s="179"/>
      <c r="S792" s="179"/>
    </row>
    <row r="793" spans="1:19" x14ac:dyDescent="0.2">
      <c r="A793" s="185"/>
      <c r="B793" s="175"/>
      <c r="C793" s="175"/>
      <c r="D793" s="202"/>
      <c r="G793" s="179"/>
      <c r="H793" s="183"/>
      <c r="I793" s="184"/>
      <c r="J793" s="179"/>
      <c r="K793" s="179"/>
      <c r="L793" s="179"/>
      <c r="M793" s="179"/>
      <c r="N793" s="179"/>
      <c r="O793" s="182"/>
      <c r="P793" s="179"/>
      <c r="Q793" s="179"/>
      <c r="R793" s="179"/>
      <c r="S793" s="179"/>
    </row>
    <row r="794" spans="1:19" x14ac:dyDescent="0.2">
      <c r="A794" s="185"/>
      <c r="B794" s="175"/>
      <c r="C794" s="175"/>
      <c r="D794" s="202"/>
      <c r="G794" s="179"/>
      <c r="H794" s="183"/>
      <c r="I794" s="184"/>
      <c r="J794" s="179"/>
      <c r="K794" s="179"/>
      <c r="L794" s="179"/>
      <c r="M794" s="179"/>
      <c r="N794" s="179"/>
      <c r="O794" s="182"/>
      <c r="P794" s="179"/>
      <c r="Q794" s="179"/>
      <c r="R794" s="179"/>
      <c r="S794" s="179"/>
    </row>
    <row r="795" spans="1:19" x14ac:dyDescent="0.2">
      <c r="A795" s="185"/>
      <c r="B795" s="175"/>
      <c r="C795" s="175"/>
      <c r="D795" s="202"/>
      <c r="G795" s="179"/>
      <c r="H795" s="183"/>
      <c r="I795" s="184"/>
      <c r="J795" s="179"/>
      <c r="K795" s="179"/>
      <c r="L795" s="179"/>
      <c r="M795" s="179"/>
      <c r="N795" s="179"/>
      <c r="O795" s="182"/>
      <c r="P795" s="179"/>
      <c r="Q795" s="179"/>
      <c r="R795" s="179"/>
      <c r="S795" s="179"/>
    </row>
    <row r="796" spans="1:19" x14ac:dyDescent="0.2">
      <c r="A796" s="185"/>
      <c r="B796" s="175"/>
      <c r="C796" s="175"/>
      <c r="D796" s="202"/>
      <c r="G796" s="179"/>
      <c r="H796" s="183"/>
      <c r="I796" s="184"/>
      <c r="J796" s="179"/>
      <c r="K796" s="179"/>
      <c r="L796" s="179"/>
      <c r="M796" s="179"/>
      <c r="N796" s="179"/>
      <c r="O796" s="182"/>
      <c r="P796" s="179"/>
      <c r="Q796" s="179"/>
      <c r="R796" s="179"/>
      <c r="S796" s="179"/>
    </row>
    <row r="797" spans="1:19" x14ac:dyDescent="0.2">
      <c r="A797" s="185"/>
      <c r="B797" s="175"/>
      <c r="C797" s="175"/>
      <c r="D797" s="202"/>
      <c r="G797" s="179"/>
      <c r="H797" s="183"/>
      <c r="I797" s="184"/>
      <c r="J797" s="179"/>
      <c r="K797" s="179"/>
      <c r="L797" s="179"/>
      <c r="M797" s="179"/>
      <c r="N797" s="179"/>
      <c r="O797" s="182"/>
      <c r="P797" s="179"/>
      <c r="Q797" s="179"/>
      <c r="R797" s="179"/>
      <c r="S797" s="179"/>
    </row>
    <row r="798" spans="1:19" x14ac:dyDescent="0.2">
      <c r="A798" s="185"/>
      <c r="B798" s="175"/>
      <c r="C798" s="175"/>
      <c r="D798" s="202"/>
      <c r="G798" s="179"/>
      <c r="H798" s="183"/>
      <c r="I798" s="184"/>
      <c r="J798" s="179"/>
      <c r="K798" s="179"/>
      <c r="L798" s="179"/>
      <c r="M798" s="179"/>
      <c r="N798" s="179"/>
      <c r="O798" s="182"/>
      <c r="P798" s="179"/>
      <c r="Q798" s="179"/>
      <c r="R798" s="179"/>
      <c r="S798" s="179"/>
    </row>
    <row r="799" spans="1:19" x14ac:dyDescent="0.2">
      <c r="A799" s="185"/>
      <c r="B799" s="175"/>
      <c r="C799" s="175"/>
      <c r="D799" s="202"/>
      <c r="G799" s="179"/>
      <c r="H799" s="183"/>
      <c r="I799" s="184"/>
      <c r="J799" s="179"/>
      <c r="K799" s="179"/>
      <c r="L799" s="179"/>
      <c r="M799" s="179"/>
      <c r="N799" s="179"/>
      <c r="O799" s="182"/>
      <c r="P799" s="179"/>
      <c r="Q799" s="179"/>
      <c r="R799" s="179"/>
      <c r="S799" s="179"/>
    </row>
    <row r="800" spans="1:19" x14ac:dyDescent="0.2">
      <c r="A800" s="185"/>
      <c r="B800" s="175"/>
      <c r="C800" s="175"/>
      <c r="D800" s="202"/>
      <c r="G800" s="179"/>
      <c r="H800" s="183"/>
      <c r="I800" s="184"/>
      <c r="J800" s="179"/>
      <c r="K800" s="179"/>
      <c r="L800" s="179"/>
      <c r="M800" s="179"/>
      <c r="N800" s="179"/>
      <c r="O800" s="182"/>
      <c r="P800" s="179"/>
      <c r="Q800" s="179"/>
      <c r="R800" s="179"/>
      <c r="S800" s="179"/>
    </row>
    <row r="801" spans="1:19" x14ac:dyDescent="0.2">
      <c r="A801" s="185"/>
      <c r="B801" s="175"/>
      <c r="C801" s="175"/>
      <c r="D801" s="202"/>
      <c r="G801" s="179"/>
      <c r="H801" s="183"/>
      <c r="I801" s="184"/>
      <c r="J801" s="179"/>
      <c r="K801" s="179"/>
      <c r="L801" s="179"/>
      <c r="M801" s="179"/>
      <c r="N801" s="179"/>
      <c r="O801" s="182"/>
      <c r="P801" s="179"/>
      <c r="Q801" s="179"/>
      <c r="R801" s="179"/>
      <c r="S801" s="179"/>
    </row>
    <row r="802" spans="1:19" x14ac:dyDescent="0.2">
      <c r="A802" s="185"/>
      <c r="B802" s="175"/>
      <c r="C802" s="175"/>
      <c r="D802" s="202"/>
      <c r="G802" s="179"/>
      <c r="H802" s="183"/>
      <c r="I802" s="184"/>
      <c r="J802" s="179"/>
      <c r="K802" s="179"/>
      <c r="L802" s="179"/>
      <c r="M802" s="179"/>
      <c r="N802" s="179"/>
      <c r="O802" s="182"/>
      <c r="P802" s="179"/>
      <c r="Q802" s="179"/>
      <c r="R802" s="179"/>
      <c r="S802" s="179"/>
    </row>
    <row r="803" spans="1:19" x14ac:dyDescent="0.2">
      <c r="A803" s="185"/>
      <c r="B803" s="175"/>
      <c r="C803" s="175"/>
      <c r="D803" s="202"/>
      <c r="G803" s="179"/>
      <c r="H803" s="183"/>
      <c r="I803" s="184"/>
      <c r="J803" s="179"/>
      <c r="K803" s="179"/>
      <c r="L803" s="179"/>
      <c r="M803" s="179"/>
      <c r="N803" s="179"/>
      <c r="O803" s="182"/>
      <c r="P803" s="179"/>
      <c r="Q803" s="179"/>
      <c r="R803" s="179"/>
      <c r="S803" s="179"/>
    </row>
    <row r="804" spans="1:19" x14ac:dyDescent="0.2">
      <c r="A804" s="185"/>
      <c r="B804" s="175"/>
      <c r="C804" s="175"/>
      <c r="D804" s="202"/>
      <c r="G804" s="179"/>
      <c r="H804" s="183"/>
      <c r="I804" s="184"/>
      <c r="J804" s="179"/>
      <c r="K804" s="179"/>
      <c r="L804" s="179"/>
      <c r="M804" s="179"/>
      <c r="N804" s="179"/>
      <c r="O804" s="182"/>
      <c r="P804" s="179"/>
      <c r="Q804" s="179"/>
      <c r="R804" s="179"/>
      <c r="S804" s="179"/>
    </row>
    <row r="805" spans="1:19" x14ac:dyDescent="0.2">
      <c r="A805" s="185"/>
      <c r="B805" s="175"/>
      <c r="C805" s="175"/>
      <c r="D805" s="202"/>
      <c r="G805" s="179"/>
      <c r="H805" s="183"/>
      <c r="I805" s="184"/>
      <c r="J805" s="179"/>
      <c r="K805" s="179"/>
      <c r="L805" s="179"/>
      <c r="M805" s="179"/>
      <c r="N805" s="179"/>
      <c r="O805" s="182"/>
      <c r="P805" s="179"/>
      <c r="Q805" s="179"/>
      <c r="R805" s="179"/>
      <c r="S805" s="179"/>
    </row>
    <row r="806" spans="1:19" x14ac:dyDescent="0.2">
      <c r="A806" s="185"/>
      <c r="B806" s="175"/>
      <c r="C806" s="175"/>
      <c r="D806" s="202"/>
      <c r="G806" s="179"/>
      <c r="H806" s="183"/>
      <c r="I806" s="184"/>
      <c r="J806" s="179"/>
      <c r="K806" s="179"/>
      <c r="L806" s="179"/>
      <c r="M806" s="179"/>
      <c r="N806" s="179"/>
      <c r="O806" s="182"/>
      <c r="P806" s="179"/>
      <c r="Q806" s="179"/>
      <c r="R806" s="179"/>
      <c r="S806" s="179"/>
    </row>
    <row r="807" spans="1:19" x14ac:dyDescent="0.2">
      <c r="A807" s="185"/>
      <c r="B807" s="175"/>
      <c r="C807" s="175"/>
      <c r="D807" s="202"/>
      <c r="G807" s="179"/>
      <c r="H807" s="183"/>
      <c r="I807" s="184"/>
      <c r="J807" s="179"/>
      <c r="K807" s="179"/>
      <c r="L807" s="179"/>
      <c r="M807" s="179"/>
      <c r="N807" s="179"/>
      <c r="O807" s="182"/>
      <c r="P807" s="179"/>
      <c r="Q807" s="179"/>
      <c r="R807" s="179"/>
      <c r="S807" s="179"/>
    </row>
    <row r="808" spans="1:19" x14ac:dyDescent="0.2">
      <c r="A808" s="185"/>
      <c r="B808" s="175"/>
      <c r="C808" s="175"/>
      <c r="D808" s="202"/>
      <c r="G808" s="179"/>
      <c r="H808" s="183"/>
      <c r="I808" s="184"/>
      <c r="J808" s="179"/>
      <c r="K808" s="179"/>
      <c r="L808" s="179"/>
      <c r="M808" s="179"/>
      <c r="N808" s="179"/>
      <c r="O808" s="182"/>
      <c r="P808" s="179"/>
      <c r="Q808" s="179"/>
      <c r="R808" s="179"/>
      <c r="S808" s="179"/>
    </row>
    <row r="809" spans="1:19" x14ac:dyDescent="0.2">
      <c r="A809" s="185"/>
      <c r="B809" s="175"/>
      <c r="C809" s="175"/>
      <c r="D809" s="175"/>
      <c r="G809" s="179"/>
      <c r="H809" s="183"/>
      <c r="I809" s="184"/>
      <c r="J809" s="179"/>
      <c r="K809" s="179"/>
      <c r="L809" s="179"/>
      <c r="M809" s="179"/>
      <c r="N809" s="179"/>
      <c r="O809" s="182"/>
      <c r="P809" s="179"/>
      <c r="Q809" s="179"/>
      <c r="R809" s="179"/>
      <c r="S809" s="179"/>
    </row>
    <row r="810" spans="1:19" x14ac:dyDescent="0.2">
      <c r="A810" s="185"/>
      <c r="B810" s="175"/>
      <c r="C810" s="175"/>
      <c r="D810" s="175"/>
      <c r="G810" s="179"/>
      <c r="H810" s="183"/>
      <c r="I810" s="184"/>
      <c r="J810" s="179"/>
      <c r="K810" s="179"/>
      <c r="L810" s="179"/>
      <c r="M810" s="179"/>
      <c r="N810" s="179"/>
      <c r="O810" s="182"/>
      <c r="P810" s="179"/>
      <c r="Q810" s="179"/>
      <c r="R810" s="179"/>
      <c r="S810" s="179"/>
    </row>
    <row r="811" spans="1:19" x14ac:dyDescent="0.2">
      <c r="A811" s="185"/>
      <c r="B811" s="175"/>
      <c r="C811" s="175"/>
      <c r="D811" s="175"/>
      <c r="G811" s="179"/>
      <c r="H811" s="183"/>
      <c r="I811" s="184"/>
      <c r="J811" s="179"/>
      <c r="K811" s="179"/>
      <c r="L811" s="179"/>
      <c r="M811" s="179"/>
      <c r="N811" s="179"/>
      <c r="O811" s="182"/>
      <c r="P811" s="179"/>
      <c r="Q811" s="179"/>
      <c r="R811" s="179"/>
      <c r="S811" s="179"/>
    </row>
    <row r="812" spans="1:19" x14ac:dyDescent="0.2">
      <c r="A812" s="185"/>
      <c r="B812" s="175"/>
      <c r="C812" s="175"/>
      <c r="D812" s="175"/>
      <c r="G812" s="179"/>
      <c r="H812" s="183"/>
      <c r="I812" s="184"/>
      <c r="J812" s="179"/>
      <c r="K812" s="179"/>
      <c r="L812" s="179"/>
      <c r="M812" s="179"/>
      <c r="N812" s="179"/>
      <c r="O812" s="182"/>
      <c r="P812" s="179"/>
      <c r="Q812" s="179"/>
      <c r="R812" s="179"/>
      <c r="S812" s="179"/>
    </row>
    <row r="813" spans="1:19" x14ac:dyDescent="0.2">
      <c r="A813" s="185"/>
      <c r="B813" s="175"/>
      <c r="C813" s="175"/>
      <c r="D813" s="175"/>
      <c r="G813" s="179"/>
      <c r="H813" s="183"/>
      <c r="I813" s="184"/>
      <c r="J813" s="179"/>
      <c r="K813" s="179"/>
      <c r="L813" s="179"/>
      <c r="M813" s="179"/>
      <c r="N813" s="179"/>
      <c r="O813" s="182"/>
      <c r="P813" s="179"/>
      <c r="Q813" s="179"/>
      <c r="R813" s="179"/>
      <c r="S813" s="179"/>
    </row>
    <row r="814" spans="1:19" x14ac:dyDescent="0.2">
      <c r="A814" s="185"/>
      <c r="B814" s="175"/>
      <c r="C814" s="175"/>
      <c r="D814" s="175"/>
      <c r="G814" s="179"/>
      <c r="H814" s="183"/>
      <c r="I814" s="184"/>
      <c r="J814" s="179"/>
      <c r="K814" s="179"/>
      <c r="L814" s="179"/>
      <c r="M814" s="179"/>
      <c r="N814" s="179"/>
      <c r="O814" s="182"/>
      <c r="P814" s="179"/>
      <c r="Q814" s="179"/>
      <c r="R814" s="179"/>
      <c r="S814" s="179"/>
    </row>
    <row r="815" spans="1:19" x14ac:dyDescent="0.2">
      <c r="A815" s="185"/>
      <c r="B815" s="175"/>
      <c r="C815" s="175"/>
      <c r="D815" s="175"/>
      <c r="G815" s="179"/>
      <c r="H815" s="183"/>
      <c r="I815" s="184"/>
      <c r="J815" s="179"/>
      <c r="K815" s="179"/>
      <c r="L815" s="179"/>
      <c r="M815" s="179"/>
      <c r="N815" s="179"/>
      <c r="O815" s="182"/>
      <c r="P815" s="179"/>
      <c r="Q815" s="179"/>
      <c r="R815" s="179"/>
      <c r="S815" s="179"/>
    </row>
    <row r="816" spans="1:19" x14ac:dyDescent="0.2">
      <c r="A816" s="185"/>
      <c r="B816" s="175"/>
      <c r="C816" s="175"/>
      <c r="D816" s="175"/>
      <c r="G816" s="179"/>
      <c r="H816" s="183"/>
      <c r="I816" s="184"/>
      <c r="J816" s="179"/>
      <c r="K816" s="179"/>
      <c r="L816" s="179"/>
      <c r="M816" s="179"/>
      <c r="N816" s="179"/>
      <c r="O816" s="182"/>
      <c r="P816" s="179"/>
      <c r="Q816" s="179"/>
      <c r="R816" s="179"/>
      <c r="S816" s="179"/>
    </row>
    <row r="817" spans="1:19" x14ac:dyDescent="0.2">
      <c r="A817" s="185"/>
      <c r="B817" s="175"/>
      <c r="C817" s="175"/>
      <c r="D817" s="175"/>
      <c r="G817" s="179"/>
      <c r="H817" s="183"/>
      <c r="I817" s="184"/>
      <c r="J817" s="179"/>
      <c r="K817" s="179"/>
      <c r="L817" s="179"/>
      <c r="M817" s="179"/>
      <c r="N817" s="179"/>
      <c r="O817" s="182"/>
      <c r="P817" s="179"/>
      <c r="Q817" s="179"/>
      <c r="R817" s="179"/>
      <c r="S817" s="179"/>
    </row>
    <row r="818" spans="1:19" x14ac:dyDescent="0.2">
      <c r="A818" s="185"/>
      <c r="B818" s="175"/>
      <c r="C818" s="175"/>
      <c r="D818" s="175"/>
      <c r="G818" s="179"/>
      <c r="H818" s="183"/>
      <c r="I818" s="184"/>
      <c r="J818" s="179"/>
      <c r="K818" s="179"/>
      <c r="L818" s="179"/>
      <c r="M818" s="179"/>
      <c r="N818" s="179"/>
      <c r="O818" s="182"/>
      <c r="P818" s="179"/>
      <c r="Q818" s="179"/>
      <c r="R818" s="179"/>
      <c r="S818" s="179"/>
    </row>
    <row r="819" spans="1:19" x14ac:dyDescent="0.2">
      <c r="A819" s="175"/>
      <c r="B819" s="175"/>
      <c r="C819" s="175"/>
      <c r="D819" s="175"/>
      <c r="G819" s="179"/>
      <c r="H819" s="183"/>
      <c r="I819" s="184"/>
      <c r="J819" s="179"/>
      <c r="K819" s="179"/>
      <c r="L819" s="179"/>
      <c r="M819" s="179"/>
      <c r="N819" s="179"/>
      <c r="O819" s="182"/>
      <c r="P819" s="179"/>
      <c r="Q819" s="179"/>
      <c r="R819" s="179"/>
      <c r="S819" s="179"/>
    </row>
    <row r="820" spans="1:19" x14ac:dyDescent="0.2">
      <c r="A820" s="175"/>
      <c r="B820" s="175"/>
      <c r="C820" s="175"/>
      <c r="D820" s="175"/>
      <c r="G820" s="179"/>
      <c r="H820" s="183"/>
      <c r="I820" s="184"/>
      <c r="J820" s="179"/>
      <c r="K820" s="179"/>
      <c r="L820" s="179"/>
      <c r="M820" s="179"/>
      <c r="N820" s="179"/>
      <c r="O820" s="182"/>
      <c r="P820" s="179"/>
      <c r="Q820" s="179"/>
      <c r="R820" s="179"/>
      <c r="S820" s="179"/>
    </row>
    <row r="821" spans="1:19" x14ac:dyDescent="0.2">
      <c r="A821" s="175"/>
      <c r="B821" s="175"/>
      <c r="C821" s="175"/>
      <c r="D821" s="175"/>
      <c r="G821" s="179"/>
      <c r="H821" s="183"/>
      <c r="I821" s="184"/>
      <c r="J821" s="179"/>
      <c r="K821" s="179"/>
      <c r="L821" s="179"/>
      <c r="M821" s="179"/>
      <c r="N821" s="179"/>
      <c r="O821" s="182"/>
      <c r="P821" s="179"/>
      <c r="Q821" s="179"/>
      <c r="R821" s="179"/>
      <c r="S821" s="179"/>
    </row>
    <row r="822" spans="1:19" x14ac:dyDescent="0.2">
      <c r="A822" s="175"/>
      <c r="B822" s="175"/>
      <c r="C822" s="175"/>
      <c r="D822" s="175"/>
      <c r="G822" s="179"/>
      <c r="H822" s="183"/>
      <c r="I822" s="184"/>
      <c r="J822" s="179"/>
      <c r="K822" s="179"/>
      <c r="L822" s="179"/>
      <c r="M822" s="179"/>
      <c r="N822" s="179"/>
      <c r="O822" s="182"/>
      <c r="P822" s="179"/>
      <c r="Q822" s="179"/>
      <c r="R822" s="179"/>
      <c r="S822" s="179"/>
    </row>
    <row r="823" spans="1:19" x14ac:dyDescent="0.2">
      <c r="A823" s="175"/>
      <c r="B823" s="175"/>
      <c r="C823" s="175"/>
      <c r="D823" s="175"/>
      <c r="G823" s="179"/>
      <c r="H823" s="183"/>
      <c r="I823" s="184"/>
      <c r="J823" s="179"/>
      <c r="K823" s="179"/>
      <c r="L823" s="179"/>
      <c r="M823" s="179"/>
      <c r="N823" s="179"/>
      <c r="O823" s="182"/>
      <c r="P823" s="179"/>
      <c r="Q823" s="179"/>
      <c r="R823" s="179"/>
      <c r="S823" s="179"/>
    </row>
    <row r="824" spans="1:19" x14ac:dyDescent="0.2">
      <c r="A824" s="175"/>
      <c r="B824" s="175"/>
      <c r="C824" s="175"/>
      <c r="D824" s="175"/>
      <c r="G824" s="179"/>
      <c r="H824" s="183"/>
      <c r="I824" s="184"/>
      <c r="J824" s="179"/>
      <c r="K824" s="179"/>
      <c r="L824" s="179"/>
      <c r="M824" s="179"/>
      <c r="N824" s="179"/>
      <c r="O824" s="182"/>
      <c r="P824" s="179"/>
      <c r="Q824" s="179"/>
      <c r="R824" s="179"/>
      <c r="S824" s="179"/>
    </row>
    <row r="825" spans="1:19" x14ac:dyDescent="0.2">
      <c r="A825" s="175"/>
      <c r="B825" s="175"/>
      <c r="C825" s="175"/>
      <c r="D825" s="175"/>
      <c r="G825" s="179"/>
      <c r="H825" s="183"/>
      <c r="I825" s="184"/>
      <c r="J825" s="179"/>
      <c r="K825" s="179"/>
      <c r="L825" s="179"/>
      <c r="M825" s="179"/>
      <c r="N825" s="179"/>
      <c r="O825" s="182"/>
      <c r="P825" s="179"/>
      <c r="Q825" s="179"/>
      <c r="R825" s="179"/>
      <c r="S825" s="179"/>
    </row>
    <row r="826" spans="1:19" x14ac:dyDescent="0.2">
      <c r="A826" s="175"/>
      <c r="B826" s="175"/>
      <c r="C826" s="175"/>
      <c r="D826" s="175"/>
      <c r="G826" s="179"/>
      <c r="H826" s="183"/>
      <c r="I826" s="184"/>
      <c r="J826" s="179"/>
      <c r="K826" s="179"/>
      <c r="L826" s="179"/>
      <c r="M826" s="179"/>
      <c r="N826" s="179"/>
      <c r="O826" s="182"/>
      <c r="P826" s="179"/>
      <c r="Q826" s="179"/>
      <c r="R826" s="179"/>
      <c r="S826" s="179"/>
    </row>
    <row r="827" spans="1:19" x14ac:dyDescent="0.2">
      <c r="A827" s="175"/>
      <c r="B827" s="175"/>
      <c r="C827" s="175"/>
      <c r="D827" s="175"/>
      <c r="G827" s="179"/>
      <c r="H827" s="183"/>
      <c r="I827" s="184"/>
      <c r="J827" s="179"/>
      <c r="K827" s="179"/>
      <c r="L827" s="179"/>
      <c r="M827" s="179"/>
      <c r="N827" s="179"/>
      <c r="O827" s="182"/>
      <c r="P827" s="179"/>
      <c r="Q827" s="179"/>
      <c r="R827" s="179"/>
      <c r="S827" s="179"/>
    </row>
    <row r="828" spans="1:19" x14ac:dyDescent="0.2">
      <c r="A828" s="175"/>
      <c r="B828" s="175"/>
      <c r="C828" s="175"/>
      <c r="D828" s="175"/>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35"/>
  <sheetViews>
    <sheetView showGridLines="0" showZeros="0" view="pageBreakPreview" topLeftCell="A13" zoomScale="90" zoomScaleNormal="100" zoomScaleSheetLayoutView="90" workbookViewId="0">
      <selection activeCell="G21" sqref="G21"/>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64" t="str">
        <f>Obra</f>
        <v xml:space="preserve">CONTRATACION DE 800 HS. TOPADORA   Y/O CARGADORA
PARA MEJORA DE OBRAS DE DEFENSAS DE MATERIAL SUELTO DE BAJADAS DE CRECIENTES, ENCAUZAMIENTOS
-DEPARTAMENTOS ALBARDON - ULLUM - ZONDA -
</v>
      </c>
      <c r="B1" s="764"/>
      <c r="C1" s="764"/>
      <c r="D1" s="764"/>
      <c r="E1" s="764"/>
      <c r="F1" s="764"/>
      <c r="G1" s="764"/>
    </row>
    <row r="2" spans="1:9" ht="15" customHeight="1" x14ac:dyDescent="0.2">
      <c r="A2" s="767" t="str">
        <f>IF(Tramo=0,"","TRAMO: "&amp;Tramo)</f>
        <v/>
      </c>
      <c r="B2" s="767"/>
      <c r="C2" s="767"/>
      <c r="D2" s="767"/>
      <c r="E2" s="767"/>
      <c r="F2" s="767"/>
      <c r="G2" s="767"/>
    </row>
    <row r="3" spans="1:9" ht="15" customHeight="1" x14ac:dyDescent="0.2">
      <c r="A3" s="767" t="str">
        <f>IF(Sección_I=0,"","SECCIÓN I: "&amp;Sección_I)</f>
        <v/>
      </c>
      <c r="B3" s="767"/>
      <c r="C3" s="767"/>
      <c r="D3" s="767"/>
      <c r="E3" s="767"/>
      <c r="F3" s="767"/>
      <c r="G3" s="767"/>
    </row>
    <row r="4" spans="1:9" ht="15" customHeight="1" x14ac:dyDescent="0.2">
      <c r="A4" s="767" t="str">
        <f>IF(Sección_II=0,"","SECCIÓN II: "&amp;Sección_II)</f>
        <v/>
      </c>
      <c r="B4" s="767"/>
      <c r="C4" s="767"/>
      <c r="D4" s="767"/>
      <c r="E4" s="767"/>
      <c r="F4" s="767"/>
      <c r="G4" s="767"/>
    </row>
    <row r="5" spans="1:9" ht="15" customHeight="1" x14ac:dyDescent="0.2">
      <c r="A5" s="767" t="str">
        <f>IF(Sección_III=0,"","SECCIÓN III: "&amp;Sección_III)</f>
        <v/>
      </c>
      <c r="B5" s="767"/>
      <c r="C5" s="767"/>
      <c r="D5" s="767"/>
      <c r="E5" s="767"/>
      <c r="F5" s="767"/>
      <c r="G5" s="767"/>
    </row>
    <row r="6" spans="1:9" ht="15" customHeight="1" x14ac:dyDescent="0.2">
      <c r="A6" s="767" t="str">
        <f>IF(Ubicación=0,"","DEPARTAMENTO: "&amp;Ubicación)</f>
        <v>DEPARTAMENTO: DEPARTAMENTO ALBARDON, ULLUM Y ZONDA</v>
      </c>
      <c r="B6" s="767"/>
      <c r="C6" s="767"/>
      <c r="D6" s="767"/>
      <c r="E6" s="767"/>
      <c r="F6" s="767"/>
      <c r="G6" s="767"/>
    </row>
    <row r="7" spans="1:9" ht="19.5" customHeight="1" x14ac:dyDescent="0.2">
      <c r="A7" s="158"/>
      <c r="B7" s="158"/>
      <c r="C7" s="158"/>
      <c r="D7" s="158"/>
      <c r="E7" s="158"/>
      <c r="F7" s="158"/>
      <c r="G7" s="158"/>
    </row>
    <row r="8" spans="1:9" s="5" customFormat="1" ht="19.5" customHeight="1" x14ac:dyDescent="0.2">
      <c r="A8" s="159" t="s">
        <v>986</v>
      </c>
      <c r="B8" s="160"/>
      <c r="C8" s="160"/>
      <c r="D8" s="160"/>
      <c r="E8" s="160"/>
      <c r="F8" s="160"/>
      <c r="G8" s="161"/>
    </row>
    <row r="9" spans="1:9" s="163" customFormat="1" ht="30" customHeight="1" x14ac:dyDescent="0.25">
      <c r="A9" s="162"/>
      <c r="C9" s="164"/>
      <c r="D9" s="164"/>
      <c r="E9" s="162" t="str">
        <f>IF(Fecha_Base=0,"San Juan, ______________________"&amp;" de _____","San Juan, "&amp;TEXT(Fecha_Base,"dd")&amp;" de "&amp;TEXT(Fecha_Base,"mmmm")&amp;" de "&amp;TEXT(Fecha_Base,"yyyy"))</f>
        <v>San Juan, 09 de abril de 2021</v>
      </c>
    </row>
    <row r="10" spans="1:9" s="6" customFormat="1" ht="69.75" customHeight="1" x14ac:dyDescent="0.2">
      <c r="B10" s="165" t="s">
        <v>2117</v>
      </c>
      <c r="C10" s="165"/>
      <c r="D10" s="165"/>
      <c r="E10" s="165"/>
      <c r="F10" s="165"/>
      <c r="G10" s="165"/>
    </row>
    <row r="11" spans="1:9" s="6" customFormat="1" ht="80.099999999999994" customHeight="1" x14ac:dyDescent="0.2">
      <c r="B11" s="770"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0"/>
      <c r="D11" s="770"/>
      <c r="E11" s="770"/>
      <c r="F11" s="770"/>
      <c r="G11" s="770"/>
    </row>
    <row r="12" spans="1:9" s="6" customFormat="1" ht="19.5" customHeight="1" x14ac:dyDescent="0.2">
      <c r="A12" s="13"/>
      <c r="B12" s="14"/>
      <c r="I12" s="491" t="s">
        <v>992</v>
      </c>
    </row>
    <row r="13" spans="1:9" ht="20.100000000000001" customHeight="1" x14ac:dyDescent="0.2">
      <c r="A13" s="765" t="s">
        <v>894</v>
      </c>
      <c r="B13" s="766" t="s">
        <v>0</v>
      </c>
      <c r="C13" s="765" t="s">
        <v>1</v>
      </c>
      <c r="D13" s="765" t="s">
        <v>2</v>
      </c>
      <c r="E13" s="766" t="s">
        <v>987</v>
      </c>
      <c r="F13" s="766"/>
      <c r="G13" s="765" t="s">
        <v>938</v>
      </c>
      <c r="I13" s="491"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65"/>
      <c r="B14" s="766"/>
      <c r="C14" s="765"/>
      <c r="D14" s="765"/>
      <c r="E14" s="487" t="s">
        <v>988</v>
      </c>
      <c r="F14" s="487" t="s">
        <v>989</v>
      </c>
      <c r="G14" s="765"/>
      <c r="I14" s="492"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6"/>
      <c r="B15" s="485"/>
      <c r="C15" s="166"/>
      <c r="D15" s="166"/>
      <c r="E15" s="485"/>
      <c r="F15" s="485"/>
    </row>
    <row r="16" spans="1:9" ht="30" customHeight="1" x14ac:dyDescent="0.2">
      <c r="A16" s="167">
        <f ca="1">INDIRECT("Datos!B"&amp;MATCH("RUBRO ITEM",Datos!B:B,0)+ROW()-MATCH("RUBRO ITEM",A:A,0)-1)</f>
        <v>1</v>
      </c>
      <c r="B16" s="453" t="str">
        <f t="shared" ref="B16:C19" ca="1" si="0">IFERROR(VLOOKUP(A16,T_Computo_Presupuesto,2,FALSE),"")</f>
        <v>DEPARTAMENTO ALBARDON</v>
      </c>
      <c r="C16" s="453" t="str">
        <f t="shared" ca="1" si="0"/>
        <v/>
      </c>
      <c r="D16" s="454">
        <f t="shared" ref="D16" ca="1" si="1">IFERROR(VLOOKUP(A16,T_Computo_Presupuesto,5,FALSE),"")</f>
        <v>0</v>
      </c>
      <c r="E16" s="455" t="str">
        <f t="shared" ref="E16" ca="1" si="2">IF(F16=0,"",CONVERTIRNUM(F16))</f>
        <v/>
      </c>
      <c r="F16" s="456">
        <f t="shared" ref="F16" ca="1" si="3">IFERROR(VLOOKUP(A16,T_Computo_Presupuesto,7,FALSE),0)</f>
        <v>0</v>
      </c>
      <c r="G16" s="456">
        <f ca="1">ROUND(D16*F16,2)</f>
        <v>0</v>
      </c>
    </row>
    <row r="17" spans="1:7" ht="30" customHeight="1" x14ac:dyDescent="0.2">
      <c r="A17" s="167" t="str">
        <f ca="1">INDIRECT("Datos!B"&amp;MATCH("RUBRO ITEM",Datos!B:B,0)+ROW()-MATCH("RUBRO ITEM",A:A,0)-1)</f>
        <v>1.1</v>
      </c>
      <c r="B17" s="453" t="str">
        <f t="shared" ca="1" si="0"/>
        <v>Topador D8 potencia minima 270hp</v>
      </c>
      <c r="C17" s="168" t="str">
        <f t="shared" ref="C17:C19" ca="1" si="4">IFERROR(VLOOKUP(A17,T_Computo_Presupuesto,4,FALSE),"")</f>
        <v>h</v>
      </c>
      <c r="D17" s="454">
        <f t="shared" ref="D17:D19" ca="1" si="5">IFERROR(VLOOKUP(A17,T_Computo_Presupuesto,5,FALSE),"")</f>
        <v>300</v>
      </c>
      <c r="E17" s="455" t="str">
        <f t="shared" ref="E17:E19" ca="1" si="6">IF(F17=0,"",CONVERTIRNUM(F17))</f>
        <v/>
      </c>
      <c r="F17" s="456">
        <f t="shared" ref="F17:F19" ca="1" si="7">IFERROR(VLOOKUP(A17,T_Computo_Presupuesto,7,FALSE),0)</f>
        <v>0</v>
      </c>
      <c r="G17" s="456">
        <f t="shared" ref="G17:G19" ca="1" si="8">ROUND(D17*F17,2)</f>
        <v>0</v>
      </c>
    </row>
    <row r="18" spans="1:7" ht="30" customHeight="1" x14ac:dyDescent="0.2">
      <c r="A18" s="167">
        <f ca="1">INDIRECT("Datos!B"&amp;MATCH("RUBRO ITEM",Datos!B:B,0)+ROW()-MATCH("RUBRO ITEM",A:A,0)-1)</f>
        <v>2</v>
      </c>
      <c r="B18" s="453" t="str">
        <f t="shared" ca="1" si="0"/>
        <v>DEPARTAMENTO ULUM-ZONDA</v>
      </c>
      <c r="C18" s="168">
        <f t="shared" ca="1" si="4"/>
        <v>0</v>
      </c>
      <c r="D18" s="454">
        <f t="shared" ca="1" si="5"/>
        <v>0</v>
      </c>
      <c r="E18" s="455" t="str">
        <f t="shared" ca="1" si="6"/>
        <v/>
      </c>
      <c r="F18" s="456">
        <f t="shared" ca="1" si="7"/>
        <v>0</v>
      </c>
      <c r="G18" s="456">
        <f t="shared" ca="1" si="8"/>
        <v>0</v>
      </c>
    </row>
    <row r="19" spans="1:7" ht="30" customHeight="1" x14ac:dyDescent="0.2">
      <c r="A19" s="167">
        <f ca="1">INDIRECT("Datos!B"&amp;MATCH("RUBRO ITEM",Datos!B:B,0)+ROW()-MATCH("RUBRO ITEM",A:A,0)-1)</f>
        <v>2.1</v>
      </c>
      <c r="B19" s="453" t="str">
        <f t="shared" ca="1" si="0"/>
        <v>Topador D8 potencia minima 270hp</v>
      </c>
      <c r="C19" s="168" t="str">
        <f t="shared" ca="1" si="4"/>
        <v>h</v>
      </c>
      <c r="D19" s="454">
        <f t="shared" ca="1" si="5"/>
        <v>500</v>
      </c>
      <c r="E19" s="455" t="str">
        <f t="shared" ca="1" si="6"/>
        <v/>
      </c>
      <c r="F19" s="456">
        <f t="shared" ca="1" si="7"/>
        <v>0</v>
      </c>
      <c r="G19" s="456">
        <f t="shared" ca="1" si="8"/>
        <v>0</v>
      </c>
    </row>
    <row r="20" spans="1:7" ht="19.5" customHeight="1" x14ac:dyDescent="0.2">
      <c r="A20" s="459"/>
      <c r="B20" s="768" t="s">
        <v>990</v>
      </c>
      <c r="C20" s="768"/>
      <c r="D20" s="768"/>
      <c r="E20" s="768"/>
      <c r="F20" s="460"/>
      <c r="G20" s="169">
        <f ca="1">ROUND(SUM(G16:G19),2)</f>
        <v>0</v>
      </c>
    </row>
    <row r="21" spans="1:7" ht="19.5" customHeight="1" x14ac:dyDescent="0.2">
      <c r="A21" s="170" t="s">
        <v>3</v>
      </c>
      <c r="F21" s="171"/>
    </row>
    <row r="22" spans="1:7" ht="37.5" customHeight="1" x14ac:dyDescent="0.2">
      <c r="A22" s="771" t="str">
        <f ca="1">IF(Monto_Oferta=0,"IMPORTA LA PRESENTE PROPUESTA EN LA SUMA DE: _____________________","IMPORTA LA PRESENTE PROPUESTA EN LA SUMA DE: "&amp;CONVERTIRNUM(Monto_Oferta))</f>
        <v>IMPORTA LA PRESENTE PROPUESTA EN LA SUMA DE: _____________________</v>
      </c>
      <c r="B22" s="771"/>
      <c r="C22" s="771"/>
      <c r="D22" s="771"/>
      <c r="E22" s="771"/>
      <c r="F22" s="771"/>
      <c r="G22" s="771"/>
    </row>
    <row r="23" spans="1:7" ht="19.5" customHeight="1" x14ac:dyDescent="0.2">
      <c r="A23" s="172"/>
    </row>
    <row r="24" spans="1:7" ht="19.5" customHeight="1" x14ac:dyDescent="0.2">
      <c r="B24" s="769" t="s">
        <v>995</v>
      </c>
      <c r="C24" s="769"/>
      <c r="D24" s="769"/>
      <c r="E24" s="769"/>
      <c r="F24" s="769"/>
      <c r="G24" s="769"/>
    </row>
    <row r="25" spans="1:7" ht="19.5" customHeight="1" x14ac:dyDescent="0.2">
      <c r="B25" s="769" t="s">
        <v>991</v>
      </c>
      <c r="C25" s="769"/>
      <c r="D25" s="769"/>
      <c r="E25" s="769"/>
      <c r="F25" s="769"/>
      <c r="G25" s="769"/>
    </row>
    <row r="26" spans="1:7" ht="19.5" customHeight="1" x14ac:dyDescent="0.2">
      <c r="B26" s="486"/>
      <c r="C26" s="486"/>
      <c r="D26" s="486"/>
      <c r="E26" s="486"/>
      <c r="F26" s="486"/>
      <c r="G26" s="486"/>
    </row>
    <row r="27" spans="1:7" ht="19.5" customHeight="1" x14ac:dyDescent="0.2">
      <c r="B27" s="486"/>
      <c r="C27" s="486"/>
      <c r="D27" s="486"/>
      <c r="E27" s="486"/>
      <c r="F27" s="486"/>
      <c r="G27" s="486"/>
    </row>
    <row r="28" spans="1:7" ht="19.5" customHeight="1" x14ac:dyDescent="0.2">
      <c r="B28" s="457" t="str">
        <f>"ACLARACIÓN DE LAS FIRMAS SIN ABREVIATURAS:                                               "&amp;Contratista_Firma1&amp;"                                                               "&amp;Contratista_Firma2</f>
        <v xml:space="preserve">ACLARACIÓN DE LAS FIRMAS SIN ABREVIATURAS:                                                                                                              </v>
      </c>
      <c r="C28" s="457"/>
      <c r="D28" s="458"/>
      <c r="E28" s="457"/>
      <c r="F28" s="458"/>
      <c r="G28" s="457"/>
    </row>
    <row r="29" spans="1:7" ht="19.5" customHeight="1" x14ac:dyDescent="0.2">
      <c r="D29" s="173">
        <v>0</v>
      </c>
      <c r="F29" s="173">
        <v>0</v>
      </c>
    </row>
    <row r="33" spans="1:1" ht="19.5" customHeight="1" x14ac:dyDescent="0.2">
      <c r="A33" s="174"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34" spans="1:1" ht="19.5" customHeight="1" x14ac:dyDescent="0.2">
      <c r="A34" s="174" t="s">
        <v>994</v>
      </c>
    </row>
    <row r="35" spans="1:1" ht="19.5" customHeight="1" x14ac:dyDescent="0.2">
      <c r="A35" s="174" t="s">
        <v>993</v>
      </c>
    </row>
  </sheetData>
  <sheetProtection formatCells="0" selectLockedCells="1"/>
  <mergeCells count="17">
    <mergeCell ref="B20:E20"/>
    <mergeCell ref="B24:G24"/>
    <mergeCell ref="B25:G25"/>
    <mergeCell ref="B11:G11"/>
    <mergeCell ref="G13:G14"/>
    <mergeCell ref="A22:G22"/>
    <mergeCell ref="A1:G1"/>
    <mergeCell ref="A13:A14"/>
    <mergeCell ref="B13:B14"/>
    <mergeCell ref="C13:C14"/>
    <mergeCell ref="D13:D14"/>
    <mergeCell ref="E13:F13"/>
    <mergeCell ref="A2:G2"/>
    <mergeCell ref="A3:G3"/>
    <mergeCell ref="A4:G4"/>
    <mergeCell ref="A5:G5"/>
    <mergeCell ref="A6:G6"/>
  </mergeCells>
  <conditionalFormatting sqref="A16:A21">
    <cfRule type="expression" dxfId="138" priority="28" stopIfTrue="1">
      <formula>#REF!&gt;0</formula>
    </cfRule>
    <cfRule type="expression" dxfId="137" priority="29" stopIfTrue="1">
      <formula>#REF!&gt;0</formula>
    </cfRule>
    <cfRule type="expression" dxfId="136" priority="30" stopIfTrue="1">
      <formula>#REF!&gt;0</formula>
    </cfRule>
  </conditionalFormatting>
  <conditionalFormatting sqref="B16:B19 C16">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35"/>
  <sheetViews>
    <sheetView showGridLines="0" showZeros="0" view="pageBreakPreview" topLeftCell="A4" zoomScale="80" zoomScaleNormal="90" zoomScaleSheetLayoutView="80" workbookViewId="0">
      <selection activeCell="C11" sqref="C11"/>
    </sheetView>
  </sheetViews>
  <sheetFormatPr baseColWidth="10" defaultColWidth="11.42578125" defaultRowHeight="12.75" x14ac:dyDescent="0.2"/>
  <cols>
    <col min="1" max="1" width="8.7109375" style="126" customWidth="1"/>
    <col min="2" max="3" width="30.7109375" style="126" customWidth="1"/>
    <col min="4" max="4" width="6.7109375" style="126" customWidth="1"/>
    <col min="5" max="5" width="15.28515625" style="126" customWidth="1"/>
    <col min="6" max="7" width="17.7109375" style="126" customWidth="1"/>
    <col min="8" max="8" width="22.7109375" style="126" customWidth="1"/>
    <col min="9" max="9" width="14.7109375" style="126" customWidth="1"/>
    <col min="10" max="16384" width="11.42578125" style="126"/>
  </cols>
  <sheetData>
    <row r="1" spans="1:9" s="112" customFormat="1" ht="20.100000000000001" customHeight="1" x14ac:dyDescent="0.2">
      <c r="A1" s="111" t="s">
        <v>8</v>
      </c>
      <c r="B1" s="111"/>
      <c r="C1" s="111" t="str">
        <f>Comitente</f>
        <v>DEPARTAMENTO DE HIDRAULICA</v>
      </c>
      <c r="D1" s="111"/>
      <c r="E1" s="111"/>
      <c r="F1" s="111"/>
      <c r="G1" s="111"/>
      <c r="I1" s="113"/>
    </row>
    <row r="2" spans="1:9" s="116" customFormat="1" ht="20.100000000000001" customHeight="1" x14ac:dyDescent="0.2">
      <c r="A2" s="114" t="s">
        <v>9</v>
      </c>
      <c r="B2" s="114"/>
      <c r="C2" s="111" t="str">
        <f>Obra</f>
        <v xml:space="preserve">CONTRATACION DE 800 HS. TOPADORA   Y/O CARGADORA
PARA MEJORA DE OBRAS DE DEFENSAS DE MATERIAL SUELTO DE BAJADAS DE CRECIENTES, ENCAUZAMIENTOS
-DEPARTAMENTOS ALBARDON - ULLUM - ZONDA -
</v>
      </c>
      <c r="D2" s="115"/>
      <c r="E2" s="115"/>
      <c r="F2" s="115"/>
      <c r="G2" s="115"/>
      <c r="I2" s="115"/>
    </row>
    <row r="3" spans="1:9" s="116" customFormat="1" ht="20.100000000000001" customHeight="1" x14ac:dyDescent="0.2">
      <c r="A3" s="114" t="s">
        <v>13</v>
      </c>
      <c r="B3" s="114"/>
      <c r="C3" s="117" t="str">
        <f>Ubicación</f>
        <v>DEPARTAMENTO ALBARDON, ULLUM Y ZONDA</v>
      </c>
      <c r="D3" s="117"/>
      <c r="E3" s="117"/>
      <c r="F3" s="117"/>
      <c r="G3" s="117"/>
      <c r="I3" s="117"/>
    </row>
    <row r="4" spans="1:9" s="116" customFormat="1" ht="20.100000000000001" customHeight="1" x14ac:dyDescent="0.2">
      <c r="A4" s="114" t="s">
        <v>12</v>
      </c>
      <c r="B4" s="118"/>
      <c r="C4" s="119" t="str">
        <f>Licitación_N°</f>
        <v>02/2021</v>
      </c>
    </row>
    <row r="5" spans="1:9" s="116" customFormat="1" ht="20.100000000000001" customHeight="1" x14ac:dyDescent="0.2">
      <c r="A5" s="114" t="s">
        <v>30</v>
      </c>
      <c r="B5" s="118"/>
      <c r="C5" s="120" t="str">
        <f>Expediente_N°</f>
        <v>506-000064-2021</v>
      </c>
    </row>
    <row r="6" spans="1:9" s="116" customFormat="1" ht="20.100000000000001" customHeight="1" x14ac:dyDescent="0.2">
      <c r="A6" s="114" t="s">
        <v>15</v>
      </c>
      <c r="B6" s="118"/>
      <c r="C6" s="121">
        <f>P_Oficial</f>
        <v>9900000</v>
      </c>
    </row>
    <row r="7" spans="1:9" s="116" customFormat="1" ht="20.100000000000001" customHeight="1" x14ac:dyDescent="0.2">
      <c r="A7" s="114" t="s">
        <v>893</v>
      </c>
      <c r="B7" s="118"/>
      <c r="C7" s="122">
        <f>Anticipo_Financiero</f>
        <v>0</v>
      </c>
      <c r="F7" s="116" t="e">
        <f ca="1">INDIRECT("Datos!"&amp;MATCH("RUBRO ITEM",Datos!C:C,0)+2)</f>
        <v>#N/A</v>
      </c>
    </row>
    <row r="8" spans="1:9" s="116" customFormat="1" ht="20.100000000000001" customHeight="1" x14ac:dyDescent="0.2">
      <c r="A8" s="114" t="s">
        <v>892</v>
      </c>
      <c r="B8" s="118"/>
      <c r="C8" s="123">
        <f>Fecha_Base</f>
        <v>44295</v>
      </c>
    </row>
    <row r="9" spans="1:9" s="116" customFormat="1" ht="20.100000000000001" customHeight="1" x14ac:dyDescent="0.2">
      <c r="A9" s="114" t="s">
        <v>14</v>
      </c>
      <c r="B9" s="118"/>
      <c r="C9" s="124">
        <f>Plazo_Obra</f>
        <v>120</v>
      </c>
    </row>
    <row r="10" spans="1:9" s="116" customFormat="1" ht="20.100000000000001" customHeight="1" x14ac:dyDescent="0.2">
      <c r="A10" s="114" t="s">
        <v>10</v>
      </c>
      <c r="B10" s="118"/>
      <c r="C10" s="114">
        <f>Contratista</f>
        <v>0</v>
      </c>
      <c r="F10" s="116" t="e">
        <f>MATCH("RUBRO ITEM",Datos!C:C,0)</f>
        <v>#N/A</v>
      </c>
    </row>
    <row r="11" spans="1:9" s="116" customFormat="1" ht="20.100000000000001" customHeight="1" x14ac:dyDescent="0.2">
      <c r="A11" s="114" t="s">
        <v>41</v>
      </c>
      <c r="B11" s="118"/>
      <c r="C11" s="125">
        <f ca="1">Monto_Oferta</f>
        <v>0</v>
      </c>
    </row>
    <row r="12" spans="1:9" ht="20.100000000000001" customHeight="1" x14ac:dyDescent="0.2"/>
    <row r="13" spans="1:9" ht="20.100000000000001" customHeight="1" x14ac:dyDescent="0.2">
      <c r="A13" s="127" t="s">
        <v>40</v>
      </c>
      <c r="B13" s="128"/>
      <c r="C13" s="128"/>
      <c r="D13" s="128"/>
      <c r="E13" s="128"/>
      <c r="F13" s="128"/>
      <c r="G13" s="128"/>
      <c r="H13" s="129"/>
      <c r="I13" s="130"/>
    </row>
    <row r="14" spans="1:9" ht="20.100000000000001" customHeight="1" x14ac:dyDescent="0.2"/>
    <row r="15" spans="1:9" ht="42.75" customHeight="1" x14ac:dyDescent="0.2">
      <c r="A15" s="508" t="s">
        <v>894</v>
      </c>
      <c r="B15" s="772" t="s">
        <v>0</v>
      </c>
      <c r="C15" s="773"/>
      <c r="D15" s="508" t="s">
        <v>1</v>
      </c>
      <c r="E15" s="508" t="s">
        <v>2</v>
      </c>
      <c r="F15" s="506" t="s">
        <v>959</v>
      </c>
      <c r="G15" s="506" t="s">
        <v>960</v>
      </c>
      <c r="H15" s="506" t="s">
        <v>938</v>
      </c>
      <c r="I15" s="506" t="s">
        <v>11</v>
      </c>
    </row>
    <row r="16" spans="1:9" ht="20.100000000000001" customHeight="1" x14ac:dyDescent="0.2">
      <c r="A16" s="73"/>
      <c r="B16" s="504"/>
      <c r="C16" s="504"/>
      <c r="D16" s="73"/>
      <c r="E16" s="73"/>
      <c r="F16" s="504"/>
      <c r="G16" s="504"/>
      <c r="H16" s="76"/>
      <c r="I16" s="131"/>
    </row>
    <row r="17" spans="1:9" ht="20.100000000000001" customHeight="1" x14ac:dyDescent="0.2">
      <c r="A17" s="110">
        <f ca="1">INDIRECT("Datos!B"&amp;MATCH("RUBRO ITEM",Datos!B:B,0)+ROW()-MATCH("RUBRO ITEM",A:A,0))</f>
        <v>1</v>
      </c>
      <c r="B17" s="74" t="str">
        <f t="shared" ref="B17:B20" ca="1" si="0">IFERROR(VLOOKUP(A17,T_Datos,2,FALSE),"")</f>
        <v>DEPARTAMENTO ALBARDON</v>
      </c>
      <c r="C17" s="132"/>
      <c r="D17" s="133">
        <f t="shared" ref="D17:D20" ca="1" si="1">IFERROR(VLOOKUP(A17,T_Datos,3,FALSE),"")</f>
        <v>0</v>
      </c>
      <c r="E17" s="134">
        <f t="shared" ref="E17:E20" ca="1" si="2">IFERROR(VLOOKUP(A17,T_Datos,4,FALSE),0)</f>
        <v>0</v>
      </c>
      <c r="F17" s="135">
        <f t="shared" ref="F17" ca="1" si="3">IFERROR(VLOOKUP(A17,T_Analisis_Precios,7,FALSE),0)</f>
        <v>0</v>
      </c>
      <c r="G17" s="590"/>
      <c r="H17" s="590">
        <f ca="1">ROUND(E17*G17,2)</f>
        <v>0</v>
      </c>
      <c r="I17" s="136">
        <f t="shared" ref="I17" ca="1" si="4">IFERROR(H17/Monto_Oferta,0)</f>
        <v>0</v>
      </c>
    </row>
    <row r="18" spans="1:9" ht="20.100000000000001" customHeight="1" x14ac:dyDescent="0.2">
      <c r="A18" s="110" t="str">
        <f ca="1">INDIRECT("Datos!B"&amp;MATCH("RUBRO ITEM",Datos!B:B,0)+ROW()-MATCH("RUBRO ITEM",A:A,0))</f>
        <v>1.1</v>
      </c>
      <c r="B18" s="74" t="str">
        <f t="shared" ca="1" si="0"/>
        <v>Topador D8 potencia minima 270hp</v>
      </c>
      <c r="C18" s="137"/>
      <c r="D18" s="133" t="str">
        <f t="shared" ca="1" si="1"/>
        <v>h</v>
      </c>
      <c r="E18" s="134">
        <f t="shared" ca="1" si="2"/>
        <v>300</v>
      </c>
      <c r="F18" s="138"/>
      <c r="G18" s="138"/>
      <c r="H18" s="751"/>
      <c r="I18" s="139"/>
    </row>
    <row r="19" spans="1:9" ht="20.100000000000001" customHeight="1" x14ac:dyDescent="0.2">
      <c r="A19" s="110">
        <f ca="1">INDIRECT("Datos!B"&amp;MATCH("RUBRO ITEM",Datos!B:B,0)+ROW()-MATCH("RUBRO ITEM",A:A,0))</f>
        <v>2</v>
      </c>
      <c r="B19" s="74" t="str">
        <f t="shared" ca="1" si="0"/>
        <v>DEPARTAMENTO ULUM-ZONDA</v>
      </c>
      <c r="C19" s="750"/>
      <c r="D19" s="133">
        <f t="shared" ca="1" si="1"/>
        <v>0</v>
      </c>
      <c r="E19" s="134">
        <f t="shared" ca="1" si="2"/>
        <v>0</v>
      </c>
      <c r="F19" s="138"/>
      <c r="G19" s="138"/>
      <c r="H19" s="751"/>
      <c r="I19" s="139"/>
    </row>
    <row r="20" spans="1:9" ht="20.100000000000001" customHeight="1" x14ac:dyDescent="0.2">
      <c r="A20" s="110">
        <f ca="1">INDIRECT("Datos!B"&amp;MATCH("RUBRO ITEM",Datos!B:B,0)+ROW()-MATCH("RUBRO ITEM",A:A,0))</f>
        <v>2.1</v>
      </c>
      <c r="B20" s="74" t="str">
        <f t="shared" ca="1" si="0"/>
        <v>Topador D8 potencia minima 270hp</v>
      </c>
      <c r="C20" s="750"/>
      <c r="D20" s="133" t="str">
        <f t="shared" ca="1" si="1"/>
        <v>h</v>
      </c>
      <c r="E20" s="134">
        <f t="shared" ca="1" si="2"/>
        <v>500</v>
      </c>
      <c r="F20" s="138"/>
      <c r="G20" s="138"/>
      <c r="H20" s="751"/>
      <c r="I20" s="139"/>
    </row>
    <row r="21" spans="1:9" ht="20.100000000000001" customHeight="1" x14ac:dyDescent="0.2">
      <c r="A21" s="591" t="s">
        <v>3</v>
      </c>
      <c r="B21" s="493" t="s">
        <v>1842</v>
      </c>
      <c r="C21" s="140"/>
      <c r="D21" s="140"/>
      <c r="E21" s="503" t="s">
        <v>965</v>
      </c>
      <c r="F21" s="494"/>
      <c r="G21" s="505">
        <v>0</v>
      </c>
      <c r="H21" s="413">
        <f ca="1">SUM(H17:H20)</f>
        <v>0</v>
      </c>
      <c r="I21" s="141">
        <f ca="1">SUM(I17:I18)</f>
        <v>0</v>
      </c>
    </row>
    <row r="22" spans="1:9" ht="20.100000000000001" customHeight="1" x14ac:dyDescent="0.2">
      <c r="A22" s="76"/>
      <c r="B22" s="76"/>
      <c r="C22" s="76"/>
      <c r="D22" s="76"/>
      <c r="E22" s="76"/>
      <c r="F22" s="76"/>
      <c r="G22" s="592"/>
      <c r="H22" s="76"/>
    </row>
    <row r="23" spans="1:9" ht="20.100000000000001" customHeight="1" x14ac:dyDescent="0.2">
      <c r="A23" s="549" t="s">
        <v>895</v>
      </c>
      <c r="B23" s="550" t="s">
        <v>1857</v>
      </c>
      <c r="C23" s="550"/>
      <c r="D23" s="551"/>
      <c r="E23" s="593"/>
      <c r="F23" s="552"/>
      <c r="G23" s="593"/>
      <c r="H23" s="553">
        <f ca="1">ROUND(Monto_Oferta/Coeficiente_Paso,2)</f>
        <v>0</v>
      </c>
      <c r="I23" s="142"/>
    </row>
    <row r="24" spans="1:9" ht="20.100000000000001" customHeight="1" x14ac:dyDescent="0.2">
      <c r="A24" s="554" t="s">
        <v>896</v>
      </c>
      <c r="B24" s="146" t="str">
        <f>"COSTO FINANCIERO  "&amp;ROUND(Costo_Financiero*100,2)&amp;" % de ( 1 )"</f>
        <v>COSTO FINANCIERO  0 % de ( 1 )</v>
      </c>
      <c r="C24" s="146"/>
      <c r="D24" s="555"/>
      <c r="E24" s="594">
        <f>Costo_Financiero</f>
        <v>0</v>
      </c>
      <c r="F24" s="75"/>
      <c r="G24" s="87"/>
      <c r="H24" s="556">
        <f ca="1">ROUND(H23*Costo_Financiero,2)</f>
        <v>0</v>
      </c>
      <c r="I24" s="142"/>
    </row>
    <row r="25" spans="1:9" ht="20.100000000000001" customHeight="1" x14ac:dyDescent="0.2">
      <c r="A25" s="554" t="s">
        <v>897</v>
      </c>
      <c r="B25" s="146" t="s">
        <v>1858</v>
      </c>
      <c r="C25" s="146"/>
      <c r="D25" s="555"/>
      <c r="E25" s="87"/>
      <c r="F25" s="75"/>
      <c r="G25" s="87"/>
      <c r="H25" s="556">
        <f ca="1">H23+H24</f>
        <v>0</v>
      </c>
      <c r="I25" s="142"/>
    </row>
    <row r="26" spans="1:9" ht="20.100000000000001" customHeight="1" x14ac:dyDescent="0.2">
      <c r="A26" s="554" t="s">
        <v>898</v>
      </c>
      <c r="B26" s="143" t="str">
        <f>CONCATENATE("GASTOS GENERALES  ",ROUND(Gasto_Generales_Porcentaje,3)," % de ( 3 )")</f>
        <v>GASTOS GENERALES  0 % de ( 3 )</v>
      </c>
      <c r="C26" s="143"/>
      <c r="D26" s="144"/>
      <c r="E26" s="594">
        <f>Gasto_Generales_Porcentaje</f>
        <v>0</v>
      </c>
      <c r="F26" s="75"/>
      <c r="G26" s="87"/>
      <c r="H26" s="556">
        <f ca="1">ROUND(H25*E26,2)</f>
        <v>0</v>
      </c>
      <c r="I26" s="144"/>
    </row>
    <row r="27" spans="1:9" ht="20.100000000000001" customHeight="1" x14ac:dyDescent="0.2">
      <c r="A27" s="554" t="s">
        <v>899</v>
      </c>
      <c r="B27" s="143" t="str">
        <f>CONCATENATE("BENEFICIOS  ",ROUND(Beneficio*100,2)," % de ( 3 )")</f>
        <v>BENEFICIOS  0 % de ( 3 )</v>
      </c>
      <c r="C27" s="143"/>
      <c r="D27" s="144"/>
      <c r="E27" s="594">
        <f>Beneficio</f>
        <v>0</v>
      </c>
      <c r="F27" s="75"/>
      <c r="G27" s="87"/>
      <c r="H27" s="556">
        <f ca="1">ROUND(H25*Beneficio,2)</f>
        <v>0</v>
      </c>
      <c r="I27" s="144"/>
    </row>
    <row r="28" spans="1:9" ht="20.100000000000001" customHeight="1" x14ac:dyDescent="0.2">
      <c r="A28" s="554">
        <v>6</v>
      </c>
      <c r="B28" s="146" t="s">
        <v>1859</v>
      </c>
      <c r="C28" s="146"/>
      <c r="D28" s="144"/>
      <c r="E28" s="87"/>
      <c r="F28" s="75"/>
      <c r="G28" s="87"/>
      <c r="H28" s="556">
        <f ca="1">H25+H26+H27</f>
        <v>0</v>
      </c>
      <c r="I28" s="144"/>
    </row>
    <row r="29" spans="1:9" ht="20.100000000000001" customHeight="1" x14ac:dyDescent="0.2">
      <c r="A29" s="554" t="s">
        <v>1860</v>
      </c>
      <c r="B29" s="143" t="str">
        <f>CONCATENATE("INGRESOS BRUTOS Y LOTE HOGAR  ",ROUND(Ingresos_Brutos*100,2)," % de ( 6 )")</f>
        <v>INGRESOS BRUTOS Y LOTE HOGAR  0 % de ( 6 )</v>
      </c>
      <c r="C29" s="143"/>
      <c r="D29" s="144"/>
      <c r="E29" s="594">
        <f>Ingresos_Brutos</f>
        <v>0</v>
      </c>
      <c r="F29" s="75"/>
      <c r="G29" s="87"/>
      <c r="H29" s="556">
        <f ca="1">ROUND(Ingresos_Brutos*H28,2)</f>
        <v>0</v>
      </c>
      <c r="I29" s="144"/>
    </row>
    <row r="30" spans="1:9" ht="20.100000000000001" customHeight="1" x14ac:dyDescent="0.2">
      <c r="A30" s="557" t="s">
        <v>1861</v>
      </c>
      <c r="B30" s="558" t="str">
        <f>CONCATENATE("IMPUESTO AL VALOR AGREGADO ",IVA*100," % de ( 6 )")</f>
        <v>IMPUESTO AL VALOR AGREGADO 0 % de ( 6 )</v>
      </c>
      <c r="C30" s="558"/>
      <c r="D30" s="559"/>
      <c r="E30" s="595">
        <f>IVA</f>
        <v>0</v>
      </c>
      <c r="F30" s="560"/>
      <c r="G30" s="596"/>
      <c r="H30" s="561">
        <f ca="1">ROUND(IVA*H28,2)</f>
        <v>0</v>
      </c>
      <c r="I30" s="144"/>
    </row>
    <row r="31" spans="1:9" ht="20.100000000000001" customHeight="1" x14ac:dyDescent="0.2">
      <c r="A31" s="147"/>
      <c r="B31" s="143"/>
      <c r="C31" s="143"/>
      <c r="D31" s="144"/>
      <c r="E31" s="145"/>
      <c r="F31" s="75"/>
      <c r="H31" s="148"/>
      <c r="I31" s="144"/>
    </row>
    <row r="32" spans="1:9" ht="20.100000000000001" customHeight="1" x14ac:dyDescent="0.2">
      <c r="A32" s="149"/>
      <c r="B32" s="149" t="s">
        <v>1862</v>
      </c>
      <c r="C32" s="149"/>
      <c r="D32" s="144"/>
      <c r="E32" s="112"/>
      <c r="F32" s="75"/>
      <c r="H32" s="597">
        <f ca="1">Monto_Oferta</f>
        <v>0</v>
      </c>
      <c r="I32" s="144"/>
    </row>
    <row r="33" spans="1:9" ht="20.100000000000001" customHeight="1" x14ac:dyDescent="0.2">
      <c r="I33" s="150"/>
    </row>
    <row r="34" spans="1:9" ht="60" customHeight="1" x14ac:dyDescent="0.2">
      <c r="A34" s="774" t="str">
        <f ca="1">"El presente presupuesto asciende a la suma de: " &amp; UPPER(CONVERTIRNUM(Monto_Oferta))</f>
        <v>El presente presupuesto asciende a la suma de: CERO PESOS CON 00/100</v>
      </c>
      <c r="B34" s="774"/>
      <c r="C34" s="774"/>
      <c r="D34" s="774"/>
      <c r="E34" s="774"/>
      <c r="F34" s="774"/>
      <c r="G34" s="774"/>
      <c r="H34" s="774"/>
      <c r="I34" s="774"/>
    </row>
    <row r="35" spans="1:9" x14ac:dyDescent="0.2">
      <c r="A35" s="76" t="s">
        <v>940</v>
      </c>
    </row>
  </sheetData>
  <mergeCells count="2">
    <mergeCell ref="B15:C15"/>
    <mergeCell ref="A34:I34"/>
  </mergeCells>
  <conditionalFormatting sqref="I33 A31:D32">
    <cfRule type="expression" dxfId="132" priority="316" stopIfTrue="1">
      <formula>#REF!=1</formula>
    </cfRule>
  </conditionalFormatting>
  <conditionalFormatting sqref="C17:C20">
    <cfRule type="expression" dxfId="131" priority="320" stopIfTrue="1">
      <formula>#REF!&gt;0</formula>
    </cfRule>
    <cfRule type="expression" dxfId="130" priority="321" stopIfTrue="1">
      <formula>#REF!&gt;0</formula>
    </cfRule>
    <cfRule type="expression" dxfId="129" priority="322" stopIfTrue="1">
      <formula>#REF!&gt;0</formula>
    </cfRule>
  </conditionalFormatting>
  <conditionalFormatting sqref="B31:C32 A31">
    <cfRule type="expression" dxfId="128" priority="323" stopIfTrue="1">
      <formula>#REF!=1</formula>
    </cfRule>
  </conditionalFormatting>
  <conditionalFormatting sqref="F31:F32 H31:I32 A31:D32">
    <cfRule type="expression" dxfId="127" priority="324" stopIfTrue="1">
      <formula>#REF!=1</formula>
    </cfRule>
  </conditionalFormatting>
  <conditionalFormatting sqref="I31 A31">
    <cfRule type="expression" dxfId="126" priority="314" stopIfTrue="1">
      <formula>#REF!=1</formula>
    </cfRule>
  </conditionalFormatting>
  <conditionalFormatting sqref="I32">
    <cfRule type="expression" dxfId="125" priority="311" stopIfTrue="1">
      <formula>#REF!=1</formula>
    </cfRule>
  </conditionalFormatting>
  <conditionalFormatting sqref="B17:B20 E17:E20">
    <cfRule type="expression" dxfId="124" priority="71" stopIfTrue="1">
      <formula>#REF!&gt;0</formula>
    </cfRule>
    <cfRule type="expression" dxfId="123" priority="72" stopIfTrue="1">
      <formula>#REF!&gt;0</formula>
    </cfRule>
    <cfRule type="expression" dxfId="122" priority="73" stopIfTrue="1">
      <formula>#REF!&gt;0</formula>
    </cfRule>
  </conditionalFormatting>
  <conditionalFormatting sqref="A18:A21">
    <cfRule type="expression" dxfId="121" priority="47" stopIfTrue="1">
      <formula>#REF!&gt;0</formula>
    </cfRule>
    <cfRule type="expression" dxfId="120" priority="48" stopIfTrue="1">
      <formula>#REF!&gt;0</formula>
    </cfRule>
    <cfRule type="expression" dxfId="119" priority="49" stopIfTrue="1">
      <formula>#REF!&gt;0</formula>
    </cfRule>
  </conditionalFormatting>
  <conditionalFormatting sqref="A17">
    <cfRule type="expression" dxfId="118" priority="42" stopIfTrue="1">
      <formula>#REF!&gt;0</formula>
    </cfRule>
    <cfRule type="expression" dxfId="117" priority="43" stopIfTrue="1">
      <formula>#REF!&gt;0</formula>
    </cfRule>
    <cfRule type="expression" dxfId="116" priority="44" stopIfTrue="1">
      <formula>#REF!&gt;0</formula>
    </cfRule>
  </conditionalFormatting>
  <conditionalFormatting sqref="A26:D30">
    <cfRule type="expression" dxfId="115" priority="39" stopIfTrue="1">
      <formula>#REF!=1</formula>
    </cfRule>
  </conditionalFormatting>
  <conditionalFormatting sqref="A25:D25 B26:C27 B29:C30 A27 A29">
    <cfRule type="expression" dxfId="114" priority="40" stopIfTrue="1">
      <formula>#REF!=1</formula>
    </cfRule>
  </conditionalFormatting>
  <conditionalFormatting sqref="D25:D30 B25:C27 B29:C30 A25:A30 F25:F30 H26:I27 H29:I30 I28 I25">
    <cfRule type="expression" dxfId="113" priority="41" stopIfTrue="1">
      <formula>#REF!=1</formula>
    </cfRule>
  </conditionalFormatting>
  <conditionalFormatting sqref="I26">
    <cfRule type="expression" dxfId="112" priority="38" stopIfTrue="1">
      <formula>#REF!=1</formula>
    </cfRule>
  </conditionalFormatting>
  <conditionalFormatting sqref="I28">
    <cfRule type="expression" dxfId="111" priority="37" stopIfTrue="1">
      <formula>#REF!=1</formula>
    </cfRule>
  </conditionalFormatting>
  <conditionalFormatting sqref="I30">
    <cfRule type="expression" dxfId="110" priority="36" stopIfTrue="1">
      <formula>#REF!=1</formula>
    </cfRule>
  </conditionalFormatting>
  <conditionalFormatting sqref="I29">
    <cfRule type="expression" dxfId="109" priority="35" stopIfTrue="1">
      <formula>#REF!=1</formula>
    </cfRule>
  </conditionalFormatting>
  <conditionalFormatting sqref="I27">
    <cfRule type="expression" dxfId="108" priority="34" stopIfTrue="1">
      <formula>#REF!=1</formula>
    </cfRule>
  </conditionalFormatting>
  <conditionalFormatting sqref="A25 A27 A29">
    <cfRule type="expression" dxfId="107" priority="33" stopIfTrue="1">
      <formula>#REF!=1</formula>
    </cfRule>
  </conditionalFormatting>
  <conditionalFormatting sqref="B25:C25">
    <cfRule type="expression" dxfId="106" priority="32" stopIfTrue="1">
      <formula>#REF!=1</formula>
    </cfRule>
  </conditionalFormatting>
  <conditionalFormatting sqref="B28:C28">
    <cfRule type="expression" dxfId="105" priority="31" stopIfTrue="1">
      <formula>#REF!=1</formula>
    </cfRule>
  </conditionalFormatting>
  <conditionalFormatting sqref="B30:C30">
    <cfRule type="expression" dxfId="104" priority="30" stopIfTrue="1">
      <formula>#REF!=1</formula>
    </cfRule>
  </conditionalFormatting>
  <conditionalFormatting sqref="A26 A28 A30">
    <cfRule type="expression" dxfId="103" priority="29" stopIfTrue="1">
      <formula>#REF!=1</formula>
    </cfRule>
  </conditionalFormatting>
  <conditionalFormatting sqref="A26 A28 A30">
    <cfRule type="expression" dxfId="102" priority="28" stopIfTrue="1">
      <formula>#REF!=1</formula>
    </cfRule>
  </conditionalFormatting>
  <conditionalFormatting sqref="B29:C29">
    <cfRule type="expression" dxfId="101" priority="27" stopIfTrue="1">
      <formula>#REF!=1</formula>
    </cfRule>
  </conditionalFormatting>
  <conditionalFormatting sqref="H28">
    <cfRule type="expression" dxfId="100" priority="26" stopIfTrue="1">
      <formula>#REF!=1</formula>
    </cfRule>
  </conditionalFormatting>
  <conditionalFormatting sqref="H25">
    <cfRule type="expression" dxfId="99" priority="25" stopIfTrue="1">
      <formula>#REF!=1</formula>
    </cfRule>
  </conditionalFormatting>
  <conditionalFormatting sqref="A23:D24">
    <cfRule type="expression" dxfId="98" priority="23" stopIfTrue="1">
      <formula>#REF!=1</formula>
    </cfRule>
  </conditionalFormatting>
  <conditionalFormatting sqref="A23:D24 F23:F24 I23:I24 A25">
    <cfRule type="expression" dxfId="97" priority="24" stopIfTrue="1">
      <formula>#REF!=1</formula>
    </cfRule>
  </conditionalFormatting>
  <conditionalFormatting sqref="A23:A25">
    <cfRule type="expression" dxfId="96" priority="22" stopIfTrue="1">
      <formula>#REF!=1</formula>
    </cfRule>
  </conditionalFormatting>
  <conditionalFormatting sqref="B23:C24">
    <cfRule type="expression" dxfId="95" priority="21" stopIfTrue="1">
      <formula>#REF!=1</formula>
    </cfRule>
  </conditionalFormatting>
  <conditionalFormatting sqref="H23">
    <cfRule type="expression" dxfId="94" priority="20" stopIfTrue="1">
      <formula>#REF!=1</formula>
    </cfRule>
  </conditionalFormatting>
  <conditionalFormatting sqref="H24">
    <cfRule type="expression" dxfId="93" priority="19"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49"/>
  <sheetViews>
    <sheetView showGridLines="0" showZeros="0" view="pageBreakPreview" topLeftCell="A137" zoomScaleNormal="120" zoomScaleSheetLayoutView="100" workbookViewId="0">
      <selection activeCell="C154" sqref="C154"/>
    </sheetView>
  </sheetViews>
  <sheetFormatPr baseColWidth="10" defaultColWidth="11.42578125" defaultRowHeight="19.899999999999999" customHeight="1" x14ac:dyDescent="0.2"/>
  <cols>
    <col min="1" max="1" width="20.7109375" style="510" customWidth="1"/>
    <col min="2" max="2" width="25.7109375" style="510" customWidth="1"/>
    <col min="3" max="3" width="40.7109375" style="510" customWidth="1"/>
    <col min="4" max="4" width="10.7109375" style="510" customWidth="1"/>
    <col min="5" max="5" width="12.7109375" style="510" customWidth="1"/>
    <col min="6" max="7" width="15.7109375" style="546" customWidth="1"/>
    <col min="8" max="16384" width="11.42578125" style="510"/>
  </cols>
  <sheetData>
    <row r="1" spans="1:8" ht="19.899999999999999" customHeight="1" x14ac:dyDescent="0.2">
      <c r="A1" s="779" t="s">
        <v>31</v>
      </c>
      <c r="B1" s="780"/>
      <c r="C1" s="780"/>
      <c r="D1" s="780"/>
      <c r="E1" s="780"/>
      <c r="F1" s="780"/>
      <c r="G1" s="781"/>
      <c r="H1" s="509"/>
    </row>
    <row r="2" spans="1:8" ht="19.899999999999999" customHeight="1" x14ac:dyDescent="0.2">
      <c r="A2" s="563" t="s">
        <v>711</v>
      </c>
      <c r="B2" s="511" t="str">
        <f>Comitente</f>
        <v>DEPARTAMENTO DE HIDRAULICA</v>
      </c>
      <c r="C2" s="512"/>
      <c r="D2" s="513"/>
      <c r="E2" s="513"/>
      <c r="F2" s="514"/>
      <c r="G2" s="564"/>
      <c r="H2" s="509"/>
    </row>
    <row r="3" spans="1:8" ht="19.899999999999999" customHeight="1" x14ac:dyDescent="0.2">
      <c r="A3" s="563" t="s">
        <v>712</v>
      </c>
      <c r="B3" s="511">
        <f>Contratista</f>
        <v>0</v>
      </c>
      <c r="C3" s="515"/>
      <c r="D3" s="515"/>
      <c r="E3" s="515"/>
      <c r="F3" s="511"/>
      <c r="G3" s="565"/>
      <c r="H3" s="509"/>
    </row>
    <row r="4" spans="1:8" ht="19.899999999999999" customHeight="1" x14ac:dyDescent="0.2">
      <c r="A4" s="563" t="s">
        <v>21</v>
      </c>
      <c r="B4" s="511" t="str">
        <f>Obra</f>
        <v xml:space="preserve">CONTRATACION DE 800 HS. TOPADORA   Y/O CARGADORA
PARA MEJORA DE OBRAS DE DEFENSAS DE MATERIAL SUELTO DE BAJADAS DE CRECIENTES, ENCAUZAMIENTOS
-DEPARTAMENTOS ALBARDON - ULLUM - ZONDA -
</v>
      </c>
      <c r="C4" s="515"/>
      <c r="D4" s="515"/>
      <c r="E4" s="515"/>
      <c r="F4" s="511" t="s">
        <v>32</v>
      </c>
      <c r="G4" s="565">
        <f>Fecha_Base</f>
        <v>44295</v>
      </c>
      <c r="H4" s="509"/>
    </row>
    <row r="5" spans="1:8" ht="19.899999999999999" customHeight="1" x14ac:dyDescent="0.2">
      <c r="A5" s="566" t="s">
        <v>710</v>
      </c>
      <c r="B5" s="516" t="str">
        <f>Ubicación</f>
        <v>DEPARTAMENTO ALBARDON, ULLUM Y ZONDA</v>
      </c>
      <c r="C5" s="516"/>
      <c r="D5" s="517"/>
      <c r="E5" s="518"/>
      <c r="F5" s="519"/>
      <c r="G5" s="567"/>
      <c r="H5" s="509"/>
    </row>
    <row r="6" spans="1:8" ht="19.899999999999999" customHeight="1" x14ac:dyDescent="0.2">
      <c r="A6" s="566" t="s">
        <v>33</v>
      </c>
      <c r="B6" s="520">
        <f>IFERROR(VALUE(LEFT(B7,FIND(".",B7)-1)),"")</f>
        <v>1</v>
      </c>
      <c r="C6" s="521" t="str">
        <f ca="1">IFERROR(VLOOKUP(B6,T_Computo_Presupuesto,2,FALSE),0)</f>
        <v>DEPARTAMENTO ALBARDON</v>
      </c>
      <c r="D6" s="521"/>
      <c r="E6" s="518"/>
      <c r="F6" s="519"/>
      <c r="G6" s="567"/>
      <c r="H6" s="509"/>
    </row>
    <row r="7" spans="1:8" ht="19.899999999999999" customHeight="1" x14ac:dyDescent="0.2">
      <c r="A7" s="566" t="s">
        <v>22</v>
      </c>
      <c r="B7" s="522" t="str">
        <f>IFERROR(VLOOKUP(COUNTIF($A$1:A7,"ANALISIS DE PRECIOS"),T_NumeroItem,2,FALSE),"")</f>
        <v>1.1</v>
      </c>
      <c r="C7" s="789" t="str">
        <f ca="1">IFERROR(VLOOKUP(B7,T_Computo_Presupuesto,2,FALSE),0)</f>
        <v>Topador D8 potencia minima 270hp</v>
      </c>
      <c r="D7" s="789"/>
      <c r="E7" s="789"/>
      <c r="F7" s="516" t="s">
        <v>23</v>
      </c>
      <c r="G7" s="568" t="str">
        <f ca="1">IFERROR(VLOOKUP(B7,T_Computo_Presupuesto,4,FALSE),0)</f>
        <v>h</v>
      </c>
      <c r="H7" s="509"/>
    </row>
    <row r="8" spans="1:8" ht="19.899999999999999" customHeight="1" x14ac:dyDescent="0.2">
      <c r="A8" s="566"/>
      <c r="B8" s="516"/>
      <c r="C8" s="521"/>
      <c r="D8" s="517"/>
      <c r="E8" s="518"/>
      <c r="F8" s="521"/>
      <c r="G8" s="569"/>
      <c r="H8" s="509"/>
    </row>
    <row r="9" spans="1:8" ht="19.899999999999999" customHeight="1" x14ac:dyDescent="0.2">
      <c r="A9" s="570"/>
      <c r="B9" s="523"/>
      <c r="C9" s="524" t="s">
        <v>998</v>
      </c>
      <c r="D9" s="523"/>
      <c r="E9" s="523"/>
      <c r="F9" s="523"/>
      <c r="G9" s="571"/>
      <c r="H9" s="509"/>
    </row>
    <row r="10" spans="1:8" ht="19.899999999999999" customHeight="1" x14ac:dyDescent="0.2">
      <c r="A10" s="566"/>
      <c r="B10" s="525"/>
      <c r="C10" s="521"/>
      <c r="D10" s="517"/>
      <c r="E10" s="518"/>
      <c r="F10" s="516"/>
      <c r="G10" s="568"/>
      <c r="H10" s="509"/>
    </row>
    <row r="11" spans="1:8" ht="19.899999999999999" customHeight="1" x14ac:dyDescent="0.2">
      <c r="A11" s="566"/>
      <c r="B11" s="525"/>
      <c r="C11" s="526" t="s">
        <v>999</v>
      </c>
      <c r="D11" s="527" t="s">
        <v>24</v>
      </c>
      <c r="E11" s="527" t="s">
        <v>1000</v>
      </c>
      <c r="F11" s="527" t="s">
        <v>1001</v>
      </c>
      <c r="G11" s="526" t="s">
        <v>1002</v>
      </c>
    </row>
    <row r="12" spans="1:8" ht="19.899999999999999" customHeight="1" x14ac:dyDescent="0.2">
      <c r="A12" s="566"/>
      <c r="B12" s="525"/>
      <c r="C12" s="528"/>
      <c r="D12" s="529"/>
      <c r="E12" s="530">
        <f t="shared" ref="E12:E21" si="0">IFERROR(VLOOKUP(C12,T_Equipos,4,FALSE),0)</f>
        <v>0</v>
      </c>
      <c r="F12" s="531">
        <f t="shared" ref="F12:F21" si="1">IFERROR(VLOOKUP(C12,T_Equipos,5,FALSE),0)</f>
        <v>0</v>
      </c>
      <c r="G12" s="531">
        <f>ROUND(D12*F12,2)</f>
        <v>0</v>
      </c>
    </row>
    <row r="13" spans="1:8" ht="19.899999999999999" customHeight="1" x14ac:dyDescent="0.2">
      <c r="A13" s="566"/>
      <c r="B13" s="525"/>
      <c r="C13" s="528"/>
      <c r="D13" s="529"/>
      <c r="E13" s="530">
        <f t="shared" si="0"/>
        <v>0</v>
      </c>
      <c r="F13" s="531">
        <f t="shared" si="1"/>
        <v>0</v>
      </c>
      <c r="G13" s="531">
        <f>ROUND(D13*F13,2)</f>
        <v>0</v>
      </c>
    </row>
    <row r="14" spans="1:8" ht="19.899999999999999" customHeight="1" x14ac:dyDescent="0.2">
      <c r="A14" s="566"/>
      <c r="B14" s="525"/>
      <c r="C14" s="528"/>
      <c r="D14" s="529"/>
      <c r="E14" s="530">
        <f t="shared" si="0"/>
        <v>0</v>
      </c>
      <c r="F14" s="531">
        <f t="shared" si="1"/>
        <v>0</v>
      </c>
      <c r="G14" s="531">
        <f>ROUND(D14*F14,2)</f>
        <v>0</v>
      </c>
    </row>
    <row r="15" spans="1:8" ht="19.899999999999999" customHeight="1" x14ac:dyDescent="0.2">
      <c r="A15" s="566"/>
      <c r="B15" s="525"/>
      <c r="C15" s="528"/>
      <c r="D15" s="529"/>
      <c r="E15" s="530">
        <f t="shared" si="0"/>
        <v>0</v>
      </c>
      <c r="F15" s="531">
        <f t="shared" si="1"/>
        <v>0</v>
      </c>
      <c r="G15" s="531">
        <f>ROUND(D15*F15,2)</f>
        <v>0</v>
      </c>
    </row>
    <row r="16" spans="1:8" ht="19.899999999999999" customHeight="1" x14ac:dyDescent="0.2">
      <c r="A16" s="566"/>
      <c r="B16" s="525"/>
      <c r="C16" s="528"/>
      <c r="D16" s="529"/>
      <c r="E16" s="530">
        <f t="shared" si="0"/>
        <v>0</v>
      </c>
      <c r="F16" s="531">
        <f t="shared" si="1"/>
        <v>0</v>
      </c>
      <c r="G16" s="531">
        <f t="shared" ref="G16:G21" si="2">ROUND(D16*F16,2)</f>
        <v>0</v>
      </c>
    </row>
    <row r="17" spans="1:7" ht="19.899999999999999" customHeight="1" x14ac:dyDescent="0.2">
      <c r="A17" s="566"/>
      <c r="B17" s="525"/>
      <c r="C17" s="528"/>
      <c r="D17" s="529"/>
      <c r="E17" s="530">
        <f t="shared" si="0"/>
        <v>0</v>
      </c>
      <c r="F17" s="531">
        <f t="shared" si="1"/>
        <v>0</v>
      </c>
      <c r="G17" s="531">
        <f t="shared" si="2"/>
        <v>0</v>
      </c>
    </row>
    <row r="18" spans="1:7" ht="19.899999999999999" customHeight="1" x14ac:dyDescent="0.2">
      <c r="A18" s="566"/>
      <c r="B18" s="525"/>
      <c r="C18" s="528"/>
      <c r="D18" s="529"/>
      <c r="E18" s="530">
        <f t="shared" si="0"/>
        <v>0</v>
      </c>
      <c r="F18" s="531">
        <f t="shared" si="1"/>
        <v>0</v>
      </c>
      <c r="G18" s="531">
        <f t="shared" si="2"/>
        <v>0</v>
      </c>
    </row>
    <row r="19" spans="1:7" ht="19.899999999999999" customHeight="1" x14ac:dyDescent="0.2">
      <c r="A19" s="566"/>
      <c r="B19" s="525"/>
      <c r="C19" s="528"/>
      <c r="D19" s="529"/>
      <c r="E19" s="530">
        <f t="shared" si="0"/>
        <v>0</v>
      </c>
      <c r="F19" s="531">
        <f t="shared" si="1"/>
        <v>0</v>
      </c>
      <c r="G19" s="531">
        <f t="shared" si="2"/>
        <v>0</v>
      </c>
    </row>
    <row r="20" spans="1:7" ht="19.899999999999999" customHeight="1" x14ac:dyDescent="0.2">
      <c r="A20" s="566"/>
      <c r="B20" s="525"/>
      <c r="C20" s="528"/>
      <c r="D20" s="529"/>
      <c r="E20" s="530">
        <f t="shared" si="0"/>
        <v>0</v>
      </c>
      <c r="F20" s="531">
        <f t="shared" si="1"/>
        <v>0</v>
      </c>
      <c r="G20" s="531">
        <f t="shared" si="2"/>
        <v>0</v>
      </c>
    </row>
    <row r="21" spans="1:7" ht="19.899999999999999" customHeight="1" x14ac:dyDescent="0.2">
      <c r="A21" s="566"/>
      <c r="B21" s="525"/>
      <c r="C21" s="528"/>
      <c r="D21" s="529"/>
      <c r="E21" s="530">
        <f t="shared" si="0"/>
        <v>0</v>
      </c>
      <c r="F21" s="531">
        <f t="shared" si="1"/>
        <v>0</v>
      </c>
      <c r="G21" s="531">
        <f t="shared" si="2"/>
        <v>0</v>
      </c>
    </row>
    <row r="22" spans="1:7" ht="19.899999999999999" customHeight="1" x14ac:dyDescent="0.2">
      <c r="A22" s="566"/>
      <c r="B22" s="525"/>
      <c r="C22" s="521"/>
      <c r="D22" s="521"/>
      <c r="E22" s="532"/>
      <c r="F22" s="516"/>
      <c r="G22" s="568"/>
    </row>
    <row r="23" spans="1:7" ht="19.899999999999999" customHeight="1" x14ac:dyDescent="0.2">
      <c r="A23" s="566"/>
      <c r="B23" s="521"/>
      <c r="C23" s="513" t="s">
        <v>1003</v>
      </c>
      <c r="D23" s="516" t="s">
        <v>1000</v>
      </c>
      <c r="E23" s="587">
        <f>SUMPRODUCT(D12:D21,E12:E21)</f>
        <v>0</v>
      </c>
      <c r="F23" s="516" t="s">
        <v>1004</v>
      </c>
      <c r="G23" s="588">
        <f>SUM(G12:G21)</f>
        <v>0</v>
      </c>
    </row>
    <row r="24" spans="1:7" ht="19.899999999999999" customHeight="1" x14ac:dyDescent="0.2">
      <c r="A24" s="566"/>
      <c r="B24" s="525"/>
      <c r="C24" s="533"/>
      <c r="D24" s="532"/>
      <c r="E24" s="518"/>
      <c r="F24" s="516"/>
      <c r="G24" s="572"/>
    </row>
    <row r="25" spans="1:7" ht="19.899999999999999" customHeight="1" x14ac:dyDescent="0.2">
      <c r="A25" s="573"/>
      <c r="B25" s="525"/>
      <c r="C25" s="516" t="s">
        <v>1005</v>
      </c>
      <c r="D25" s="534">
        <f>IFERROR(VLOOKUP(COUNTIF($A$1:A25,"ANALISIS DE PRECIOS"),T_Rendimiento_Equipo,5,FALSE),0)</f>
        <v>0</v>
      </c>
      <c r="E25" s="535" t="str">
        <f ca="1">G7&amp;"/día"</f>
        <v>h/día</v>
      </c>
      <c r="F25" s="574"/>
      <c r="G25" s="568"/>
    </row>
    <row r="26" spans="1:7" ht="19.899999999999999" customHeight="1" x14ac:dyDescent="0.2">
      <c r="A26" s="566"/>
      <c r="B26" s="525"/>
      <c r="C26" s="521"/>
      <c r="D26" s="517"/>
      <c r="E26" s="518"/>
      <c r="F26" s="516"/>
      <c r="G26" s="568"/>
    </row>
    <row r="27" spans="1:7" ht="19.899999999999999" customHeight="1" x14ac:dyDescent="0.2">
      <c r="A27" s="775" t="s">
        <v>576</v>
      </c>
      <c r="B27" s="776"/>
      <c r="C27" s="777" t="s">
        <v>0</v>
      </c>
      <c r="D27" s="782" t="s">
        <v>1864</v>
      </c>
      <c r="E27" s="782" t="s">
        <v>1863</v>
      </c>
      <c r="F27" s="785" t="s">
        <v>1006</v>
      </c>
      <c r="G27" s="787" t="s">
        <v>26</v>
      </c>
    </row>
    <row r="28" spans="1:7" ht="19.899999999999999" customHeight="1" x14ac:dyDescent="0.2">
      <c r="A28" s="536" t="s">
        <v>577</v>
      </c>
      <c r="B28" s="536" t="s">
        <v>578</v>
      </c>
      <c r="C28" s="778"/>
      <c r="D28" s="783"/>
      <c r="E28" s="784"/>
      <c r="F28" s="786"/>
      <c r="G28" s="788"/>
    </row>
    <row r="29" spans="1:7" ht="19.899999999999999" customHeight="1" x14ac:dyDescent="0.2">
      <c r="A29" s="575"/>
      <c r="B29" s="521"/>
      <c r="C29" s="513" t="s">
        <v>1007</v>
      </c>
      <c r="D29" s="518"/>
      <c r="E29" s="518"/>
      <c r="F29" s="521"/>
      <c r="G29" s="576"/>
    </row>
    <row r="30" spans="1:7" ht="19.899999999999999" customHeight="1" x14ac:dyDescent="0.2">
      <c r="A30" s="577">
        <f t="shared" ref="A30:A38" si="3">IFERROR(VLOOKUP(C30,T_Insumos,4,FALSE),0)</f>
        <v>0</v>
      </c>
      <c r="B30" s="537">
        <f t="shared" ref="B30:B38" si="4">IFERROR(VLOOKUP(C30,T_Insumos,5,FALSE),0)</f>
        <v>0</v>
      </c>
      <c r="C30" s="528"/>
      <c r="D30" s="538">
        <f t="shared" ref="D30:D38" si="5">IFERROR(VLOOKUP(C30,T_Insumos,3,FALSE),0)</f>
        <v>0</v>
      </c>
      <c r="E30" s="531">
        <f>D30*$G$23</f>
        <v>0</v>
      </c>
      <c r="F30" s="534">
        <f>IF(C30="",0,IFERROR(VLOOKUP(COUNTIF($A$1:A30,"ANALISIS DE PRECIOS"),T_Rendimiento_Equipo,5,FALSE),0))</f>
        <v>0</v>
      </c>
      <c r="G30" s="531">
        <f>IFERROR(ROUND(E30/F30,2),0)</f>
        <v>0</v>
      </c>
    </row>
    <row r="31" spans="1:7" ht="19.899999999999999" customHeight="1" x14ac:dyDescent="0.2">
      <c r="A31" s="577">
        <f t="shared" si="3"/>
        <v>0</v>
      </c>
      <c r="B31" s="537">
        <f t="shared" si="4"/>
        <v>0</v>
      </c>
      <c r="C31" s="528"/>
      <c r="D31" s="538">
        <f t="shared" si="5"/>
        <v>0</v>
      </c>
      <c r="E31" s="531"/>
      <c r="F31" s="534">
        <f>IF(C31="",0,IFERROR(VLOOKUP(COUNTIF($A$1:A31,"ANALISIS DE PRECIOS"),T_Rendimiento_Equipo,5,FALSE),0))</f>
        <v>0</v>
      </c>
      <c r="G31" s="531">
        <f t="shared" ref="G31:G38" si="6">IFERROR(ROUND(E31/F31,2),0)</f>
        <v>0</v>
      </c>
    </row>
    <row r="32" spans="1:7" ht="19.899999999999999" customHeight="1" x14ac:dyDescent="0.2">
      <c r="A32" s="577">
        <f t="shared" si="3"/>
        <v>0</v>
      </c>
      <c r="B32" s="537">
        <f t="shared" si="4"/>
        <v>0</v>
      </c>
      <c r="C32" s="539"/>
      <c r="D32" s="538">
        <f t="shared" si="5"/>
        <v>0</v>
      </c>
      <c r="E32" s="531"/>
      <c r="F32" s="534">
        <f>IF(C32="",0,IFERROR(VLOOKUP(COUNTIF($A$1:A32,"ANALISIS DE PRECIOS"),T_Rendimiento_Equipo,5,FALSE),0))</f>
        <v>0</v>
      </c>
      <c r="G32" s="531">
        <f t="shared" si="6"/>
        <v>0</v>
      </c>
    </row>
    <row r="33" spans="1:7" ht="19.899999999999999" customHeight="1" x14ac:dyDescent="0.2">
      <c r="A33" s="577">
        <f t="shared" si="3"/>
        <v>0</v>
      </c>
      <c r="B33" s="537">
        <f t="shared" si="4"/>
        <v>0</v>
      </c>
      <c r="C33" s="539"/>
      <c r="D33" s="538">
        <f t="shared" si="5"/>
        <v>0</v>
      </c>
      <c r="E33" s="531"/>
      <c r="F33" s="534">
        <f>IF(C33="",0,IFERROR(VLOOKUP(COUNTIF($A$1:A33,"ANALISIS DE PRECIOS"),T_Rendimiento_Equipo,5,FALSE),0))</f>
        <v>0</v>
      </c>
      <c r="G33" s="531">
        <f t="shared" si="6"/>
        <v>0</v>
      </c>
    </row>
    <row r="34" spans="1:7" ht="19.899999999999999" customHeight="1" x14ac:dyDescent="0.2">
      <c r="A34" s="577">
        <f t="shared" si="3"/>
        <v>0</v>
      </c>
      <c r="B34" s="537">
        <f t="shared" si="4"/>
        <v>0</v>
      </c>
      <c r="C34" s="539"/>
      <c r="D34" s="538">
        <f t="shared" si="5"/>
        <v>0</v>
      </c>
      <c r="E34" s="531"/>
      <c r="F34" s="534">
        <f>IF(C34="",0,IFERROR(VLOOKUP(COUNTIF($A$1:A34,"ANALISIS DE PRECIOS"),T_Rendimiento_Equipo,5,FALSE),0))</f>
        <v>0</v>
      </c>
      <c r="G34" s="531">
        <f t="shared" si="6"/>
        <v>0</v>
      </c>
    </row>
    <row r="35" spans="1:7" ht="19.899999999999999" customHeight="1" x14ac:dyDescent="0.2">
      <c r="A35" s="577">
        <f t="shared" si="3"/>
        <v>0</v>
      </c>
      <c r="B35" s="537">
        <f t="shared" si="4"/>
        <v>0</v>
      </c>
      <c r="C35" s="539"/>
      <c r="D35" s="538">
        <f t="shared" si="5"/>
        <v>0</v>
      </c>
      <c r="E35" s="531"/>
      <c r="F35" s="534">
        <f>IF(C35="",0,IFERROR(VLOOKUP(COUNTIF($A$1:A35,"ANALISIS DE PRECIOS"),T_Rendimiento_Equipo,5,FALSE),0))</f>
        <v>0</v>
      </c>
      <c r="G35" s="531">
        <f t="shared" si="6"/>
        <v>0</v>
      </c>
    </row>
    <row r="36" spans="1:7" ht="19.899999999999999" customHeight="1" x14ac:dyDescent="0.2">
      <c r="A36" s="577">
        <f t="shared" si="3"/>
        <v>0</v>
      </c>
      <c r="B36" s="537">
        <f t="shared" si="4"/>
        <v>0</v>
      </c>
      <c r="C36" s="539"/>
      <c r="D36" s="538">
        <f t="shared" si="5"/>
        <v>0</v>
      </c>
      <c r="E36" s="531"/>
      <c r="F36" s="534">
        <f>IF(C36="",0,IFERROR(VLOOKUP(COUNTIF($A$1:A36,"ANALISIS DE PRECIOS"),T_Rendimiento_Equipo,5,FALSE),0))</f>
        <v>0</v>
      </c>
      <c r="G36" s="531">
        <f t="shared" si="6"/>
        <v>0</v>
      </c>
    </row>
    <row r="37" spans="1:7" ht="19.899999999999999" customHeight="1" x14ac:dyDescent="0.2">
      <c r="A37" s="577">
        <f t="shared" si="3"/>
        <v>0</v>
      </c>
      <c r="B37" s="537">
        <f t="shared" si="4"/>
        <v>0</v>
      </c>
      <c r="C37" s="539"/>
      <c r="D37" s="538">
        <f t="shared" si="5"/>
        <v>0</v>
      </c>
      <c r="E37" s="531"/>
      <c r="F37" s="534">
        <f>IF(C37="",0,IFERROR(VLOOKUP(COUNTIF($A$1:A37,"ANALISIS DE PRECIOS"),T_Rendimiento_Equipo,5,FALSE),0))</f>
        <v>0</v>
      </c>
      <c r="G37" s="531">
        <f t="shared" si="6"/>
        <v>0</v>
      </c>
    </row>
    <row r="38" spans="1:7" ht="19.899999999999999" customHeight="1" x14ac:dyDescent="0.2">
      <c r="A38" s="577">
        <f t="shared" si="3"/>
        <v>0</v>
      </c>
      <c r="B38" s="537">
        <f t="shared" si="4"/>
        <v>0</v>
      </c>
      <c r="C38" s="528"/>
      <c r="D38" s="538">
        <f t="shared" si="5"/>
        <v>0</v>
      </c>
      <c r="E38" s="531"/>
      <c r="F38" s="534">
        <f>IF(C38="",0,IFERROR(VLOOKUP(COUNTIF($A$1:A38,"ANALISIS DE PRECIOS"),T_Rendimiento_Equipo,5,FALSE),0))</f>
        <v>0</v>
      </c>
      <c r="G38" s="531">
        <f t="shared" si="6"/>
        <v>0</v>
      </c>
    </row>
    <row r="39" spans="1:7" ht="19.899999999999999" customHeight="1" x14ac:dyDescent="0.2">
      <c r="A39" s="578"/>
      <c r="B39" s="517"/>
      <c r="C39" s="521"/>
      <c r="D39" s="517"/>
      <c r="E39" s="518"/>
      <c r="F39" s="540" t="s">
        <v>27</v>
      </c>
      <c r="G39" s="579">
        <f>SUBTOTAL(9,G30:G38)</f>
        <v>0</v>
      </c>
    </row>
    <row r="40" spans="1:7" ht="19.899999999999999" customHeight="1" x14ac:dyDescent="0.2">
      <c r="A40" s="575"/>
      <c r="B40" s="521"/>
      <c r="C40" s="513" t="s">
        <v>713</v>
      </c>
      <c r="D40" s="517"/>
      <c r="E40" s="518"/>
      <c r="F40" s="519"/>
      <c r="G40" s="576"/>
    </row>
    <row r="41" spans="1:7" ht="19.899999999999999" customHeight="1" x14ac:dyDescent="0.2">
      <c r="A41" s="775" t="s">
        <v>576</v>
      </c>
      <c r="B41" s="776"/>
      <c r="C41" s="777" t="s">
        <v>0</v>
      </c>
      <c r="D41" s="790" t="s">
        <v>24</v>
      </c>
      <c r="E41" s="790" t="s">
        <v>1830</v>
      </c>
      <c r="F41" s="785" t="s">
        <v>1006</v>
      </c>
      <c r="G41" s="787" t="s">
        <v>26</v>
      </c>
    </row>
    <row r="42" spans="1:7" ht="19.899999999999999" customHeight="1" x14ac:dyDescent="0.2">
      <c r="A42" s="536" t="s">
        <v>577</v>
      </c>
      <c r="B42" s="536" t="s">
        <v>578</v>
      </c>
      <c r="C42" s="778"/>
      <c r="D42" s="784"/>
      <c r="E42" s="784"/>
      <c r="F42" s="786"/>
      <c r="G42" s="788"/>
    </row>
    <row r="43" spans="1:7" ht="19.899999999999999" customHeight="1" x14ac:dyDescent="0.2">
      <c r="A43" s="577">
        <f t="shared" ref="A43:A49" si="7">IFERROR(VLOOKUP(C43,T_Insumos,4,FALSE),0)</f>
        <v>0</v>
      </c>
      <c r="B43" s="537">
        <f t="shared" ref="B43:B49" si="8">IFERROR(VLOOKUP(C43,T_Insumos,5,FALSE),0)</f>
        <v>0</v>
      </c>
      <c r="C43" s="541"/>
      <c r="D43" s="534"/>
      <c r="E43" s="531">
        <f t="shared" ref="E43:E49" si="9">IFERROR(VLOOKUP(C43,T_Insumos,3,FALSE),0)</f>
        <v>0</v>
      </c>
      <c r="F43" s="534">
        <f>IF(C43="",0,IFERROR(VLOOKUP(COUNTIF($A$1:A43,"ANALISIS DE PRECIOS"),T_Rendimiento_Equipo,5,FALSE),0))</f>
        <v>0</v>
      </c>
      <c r="G43" s="531">
        <f>IFERROR(ROUND(D43*E43/F43,2),0)</f>
        <v>0</v>
      </c>
    </row>
    <row r="44" spans="1:7" ht="19.899999999999999" customHeight="1" x14ac:dyDescent="0.2">
      <c r="A44" s="577">
        <f t="shared" si="7"/>
        <v>0</v>
      </c>
      <c r="B44" s="537">
        <f t="shared" si="8"/>
        <v>0</v>
      </c>
      <c r="C44" s="528"/>
      <c r="D44" s="534"/>
      <c r="E44" s="531">
        <f t="shared" si="9"/>
        <v>0</v>
      </c>
      <c r="F44" s="534">
        <f>IF(C44="",0,IFERROR(VLOOKUP(COUNTIF($A$1:A44,"ANALISIS DE PRECIOS"),T_Rendimiento_Equipo,5,FALSE),0))</f>
        <v>0</v>
      </c>
      <c r="G44" s="531">
        <f t="shared" ref="G44:G49" si="10">IFERROR(ROUND(D44*E44/F44,2),0)</f>
        <v>0</v>
      </c>
    </row>
    <row r="45" spans="1:7" ht="19.899999999999999" customHeight="1" x14ac:dyDescent="0.2">
      <c r="A45" s="577">
        <f t="shared" si="7"/>
        <v>0</v>
      </c>
      <c r="B45" s="537">
        <f t="shared" si="8"/>
        <v>0</v>
      </c>
      <c r="C45" s="528"/>
      <c r="D45" s="534"/>
      <c r="E45" s="531">
        <f t="shared" si="9"/>
        <v>0</v>
      </c>
      <c r="F45" s="534">
        <f>IF(C45="",0,IFERROR(VLOOKUP(COUNTIF($A$1:A45,"ANALISIS DE PRECIOS"),T_Rendimiento_Equipo,5,FALSE),0))</f>
        <v>0</v>
      </c>
      <c r="G45" s="531">
        <f t="shared" si="10"/>
        <v>0</v>
      </c>
    </row>
    <row r="46" spans="1:7" ht="19.899999999999999" customHeight="1" x14ac:dyDescent="0.2">
      <c r="A46" s="577">
        <f t="shared" si="7"/>
        <v>0</v>
      </c>
      <c r="B46" s="537">
        <f t="shared" si="8"/>
        <v>0</v>
      </c>
      <c r="C46" s="528"/>
      <c r="D46" s="534"/>
      <c r="E46" s="531">
        <f t="shared" si="9"/>
        <v>0</v>
      </c>
      <c r="F46" s="534">
        <f>IF(C46="",0,IFERROR(VLOOKUP(COUNTIF($A$1:A46,"ANALISIS DE PRECIOS"),T_Rendimiento_Equipo,5,FALSE),0))</f>
        <v>0</v>
      </c>
      <c r="G46" s="531">
        <f t="shared" si="10"/>
        <v>0</v>
      </c>
    </row>
    <row r="47" spans="1:7" ht="19.899999999999999" customHeight="1" x14ac:dyDescent="0.2">
      <c r="A47" s="577">
        <f t="shared" si="7"/>
        <v>0</v>
      </c>
      <c r="B47" s="537">
        <f t="shared" si="8"/>
        <v>0</v>
      </c>
      <c r="C47" s="528"/>
      <c r="D47" s="534"/>
      <c r="E47" s="531">
        <f t="shared" si="9"/>
        <v>0</v>
      </c>
      <c r="F47" s="534">
        <f>IF(C47="",0,IFERROR(VLOOKUP(COUNTIF($A$1:A47,"ANALISIS DE PRECIOS"),T_Rendimiento_Equipo,5,FALSE),0))</f>
        <v>0</v>
      </c>
      <c r="G47" s="531">
        <f t="shared" si="10"/>
        <v>0</v>
      </c>
    </row>
    <row r="48" spans="1:7" ht="19.899999999999999" customHeight="1" x14ac:dyDescent="0.2">
      <c r="A48" s="577">
        <f t="shared" si="7"/>
        <v>0</v>
      </c>
      <c r="B48" s="537">
        <f t="shared" si="8"/>
        <v>0</v>
      </c>
      <c r="C48" s="528"/>
      <c r="D48" s="542"/>
      <c r="E48" s="531">
        <f t="shared" si="9"/>
        <v>0</v>
      </c>
      <c r="F48" s="534">
        <f>IF(C48="",0,IFERROR(VLOOKUP(COUNTIF($A$1:A48,"ANALISIS DE PRECIOS"),T_Rendimiento_Equipo,5,FALSE),0))</f>
        <v>0</v>
      </c>
      <c r="G48" s="531">
        <f t="shared" si="10"/>
        <v>0</v>
      </c>
    </row>
    <row r="49" spans="1:7" ht="19.899999999999999" customHeight="1" x14ac:dyDescent="0.2">
      <c r="A49" s="577">
        <f t="shared" si="7"/>
        <v>0</v>
      </c>
      <c r="B49" s="537">
        <f t="shared" si="8"/>
        <v>0</v>
      </c>
      <c r="C49" s="537"/>
      <c r="D49" s="543"/>
      <c r="E49" s="531">
        <f t="shared" si="9"/>
        <v>0</v>
      </c>
      <c r="F49" s="534">
        <f>IF(C49="",0,IFERROR(VLOOKUP(COUNTIF($A$1:A49,"ANALISIS DE PRECIOS"),T_Rendimiento_Equipo,5,FALSE),0))</f>
        <v>0</v>
      </c>
      <c r="G49" s="531">
        <f t="shared" si="10"/>
        <v>0</v>
      </c>
    </row>
    <row r="50" spans="1:7" ht="19.899999999999999" customHeight="1" x14ac:dyDescent="0.2">
      <c r="A50" s="578"/>
      <c r="B50" s="517"/>
      <c r="C50" s="521"/>
      <c r="D50" s="517"/>
      <c r="E50" s="518"/>
      <c r="F50" s="540" t="s">
        <v>28</v>
      </c>
      <c r="G50" s="580">
        <f>SUBTOTAL(9,G43:G49)</f>
        <v>0</v>
      </c>
    </row>
    <row r="51" spans="1:7" ht="19.899999999999999" customHeight="1" x14ac:dyDescent="0.2">
      <c r="A51" s="575"/>
      <c r="B51" s="521"/>
      <c r="C51" s="513" t="s">
        <v>1013</v>
      </c>
      <c r="D51" s="517"/>
      <c r="E51" s="518"/>
      <c r="F51" s="519"/>
      <c r="G51" s="576"/>
    </row>
    <row r="52" spans="1:7" ht="19.899999999999999" customHeight="1" x14ac:dyDescent="0.2">
      <c r="A52" s="775" t="s">
        <v>576</v>
      </c>
      <c r="B52" s="776"/>
      <c r="C52" s="777" t="s">
        <v>0</v>
      </c>
      <c r="D52" s="777" t="s">
        <v>1865</v>
      </c>
      <c r="E52" s="790" t="s">
        <v>24</v>
      </c>
      <c r="F52" s="785" t="s">
        <v>25</v>
      </c>
      <c r="G52" s="787" t="s">
        <v>26</v>
      </c>
    </row>
    <row r="53" spans="1:7" ht="19.899999999999999" customHeight="1" x14ac:dyDescent="0.2">
      <c r="A53" s="536" t="s">
        <v>577</v>
      </c>
      <c r="B53" s="536" t="s">
        <v>578</v>
      </c>
      <c r="C53" s="778"/>
      <c r="D53" s="778"/>
      <c r="E53" s="784"/>
      <c r="F53" s="786"/>
      <c r="G53" s="788"/>
    </row>
    <row r="54" spans="1:7" ht="19.899999999999999" customHeight="1" x14ac:dyDescent="0.2">
      <c r="A54" s="577">
        <f t="shared" ref="A54:A64" si="11">IFERROR(VLOOKUP(C54,T_Insumos,4,FALSE),0)</f>
        <v>0</v>
      </c>
      <c r="B54" s="537">
        <f t="shared" ref="B54:B64" si="12">IFERROR(VLOOKUP(C54,T_Insumos,5,FALSE),0)</f>
        <v>0</v>
      </c>
      <c r="C54" s="537"/>
      <c r="D54" s="589">
        <f t="shared" ref="D54:D64" si="13">IFERROR(VLOOKUP(C54,T_Insumos,2,FALSE),0)</f>
        <v>0</v>
      </c>
      <c r="E54" s="529"/>
      <c r="F54" s="531">
        <f t="shared" ref="F54:F64" si="14">IFERROR(VLOOKUP(C54,T_Insumos,3,FALSE),0)</f>
        <v>0</v>
      </c>
      <c r="G54" s="531">
        <f>ROUND(E54*F54,2)</f>
        <v>0</v>
      </c>
    </row>
    <row r="55" spans="1:7" s="544" customFormat="1" ht="19.899999999999999" customHeight="1" x14ac:dyDescent="0.2">
      <c r="A55" s="577">
        <f t="shared" si="11"/>
        <v>0</v>
      </c>
      <c r="B55" s="537">
        <f t="shared" si="12"/>
        <v>0</v>
      </c>
      <c r="C55" s="537"/>
      <c r="D55" s="589">
        <f t="shared" si="13"/>
        <v>0</v>
      </c>
      <c r="E55" s="529"/>
      <c r="F55" s="531">
        <f t="shared" si="14"/>
        <v>0</v>
      </c>
      <c r="G55" s="531">
        <f t="shared" ref="G55:G64" si="15">ROUND(E55*F55,2)</f>
        <v>0</v>
      </c>
    </row>
    <row r="56" spans="1:7" ht="19.899999999999999" customHeight="1" x14ac:dyDescent="0.2">
      <c r="A56" s="577">
        <f t="shared" si="11"/>
        <v>0</v>
      </c>
      <c r="B56" s="537">
        <f t="shared" si="12"/>
        <v>0</v>
      </c>
      <c r="C56" s="537"/>
      <c r="D56" s="589">
        <f t="shared" si="13"/>
        <v>0</v>
      </c>
      <c r="E56" s="529"/>
      <c r="F56" s="531">
        <f t="shared" si="14"/>
        <v>0</v>
      </c>
      <c r="G56" s="531">
        <f t="shared" si="15"/>
        <v>0</v>
      </c>
    </row>
    <row r="57" spans="1:7" ht="19.899999999999999" customHeight="1" x14ac:dyDescent="0.2">
      <c r="A57" s="577">
        <f t="shared" si="11"/>
        <v>0</v>
      </c>
      <c r="B57" s="537">
        <f t="shared" si="12"/>
        <v>0</v>
      </c>
      <c r="C57" s="537"/>
      <c r="D57" s="589">
        <f t="shared" si="13"/>
        <v>0</v>
      </c>
      <c r="E57" s="529"/>
      <c r="F57" s="531">
        <f t="shared" si="14"/>
        <v>0</v>
      </c>
      <c r="G57" s="531">
        <f t="shared" si="15"/>
        <v>0</v>
      </c>
    </row>
    <row r="58" spans="1:7" ht="19.899999999999999" customHeight="1" x14ac:dyDescent="0.2">
      <c r="A58" s="577">
        <f t="shared" si="11"/>
        <v>0</v>
      </c>
      <c r="B58" s="537">
        <f t="shared" si="12"/>
        <v>0</v>
      </c>
      <c r="C58" s="537"/>
      <c r="D58" s="589">
        <f t="shared" si="13"/>
        <v>0</v>
      </c>
      <c r="E58" s="529"/>
      <c r="F58" s="531">
        <f t="shared" si="14"/>
        <v>0</v>
      </c>
      <c r="G58" s="531">
        <f t="shared" si="15"/>
        <v>0</v>
      </c>
    </row>
    <row r="59" spans="1:7" ht="19.899999999999999" customHeight="1" x14ac:dyDescent="0.2">
      <c r="A59" s="577">
        <f t="shared" si="11"/>
        <v>0</v>
      </c>
      <c r="B59" s="537">
        <f t="shared" si="12"/>
        <v>0</v>
      </c>
      <c r="C59" s="537"/>
      <c r="D59" s="589">
        <f t="shared" si="13"/>
        <v>0</v>
      </c>
      <c r="E59" s="529"/>
      <c r="F59" s="531">
        <f t="shared" si="14"/>
        <v>0</v>
      </c>
      <c r="G59" s="531">
        <f t="shared" si="15"/>
        <v>0</v>
      </c>
    </row>
    <row r="60" spans="1:7" ht="19.899999999999999" customHeight="1" x14ac:dyDescent="0.2">
      <c r="A60" s="577">
        <f t="shared" si="11"/>
        <v>0</v>
      </c>
      <c r="B60" s="537">
        <f t="shared" si="12"/>
        <v>0</v>
      </c>
      <c r="C60" s="537"/>
      <c r="D60" s="589">
        <f t="shared" si="13"/>
        <v>0</v>
      </c>
      <c r="E60" s="529"/>
      <c r="F60" s="531">
        <f t="shared" si="14"/>
        <v>0</v>
      </c>
      <c r="G60" s="531">
        <f t="shared" si="15"/>
        <v>0</v>
      </c>
    </row>
    <row r="61" spans="1:7" ht="19.899999999999999" customHeight="1" x14ac:dyDescent="0.2">
      <c r="A61" s="577">
        <f t="shared" si="11"/>
        <v>0</v>
      </c>
      <c r="B61" s="537">
        <f t="shared" si="12"/>
        <v>0</v>
      </c>
      <c r="C61" s="537"/>
      <c r="D61" s="589">
        <f t="shared" si="13"/>
        <v>0</v>
      </c>
      <c r="E61" s="529"/>
      <c r="F61" s="531">
        <f t="shared" si="14"/>
        <v>0</v>
      </c>
      <c r="G61" s="531">
        <f t="shared" si="15"/>
        <v>0</v>
      </c>
    </row>
    <row r="62" spans="1:7" ht="19.899999999999999" customHeight="1" x14ac:dyDescent="0.2">
      <c r="A62" s="577">
        <f t="shared" si="11"/>
        <v>0</v>
      </c>
      <c r="B62" s="537">
        <f t="shared" si="12"/>
        <v>0</v>
      </c>
      <c r="C62" s="537"/>
      <c r="D62" s="589">
        <f t="shared" si="13"/>
        <v>0</v>
      </c>
      <c r="E62" s="529"/>
      <c r="F62" s="531">
        <f t="shared" si="14"/>
        <v>0</v>
      </c>
      <c r="G62" s="531">
        <f t="shared" si="15"/>
        <v>0</v>
      </c>
    </row>
    <row r="63" spans="1:7" ht="19.899999999999999" customHeight="1" x14ac:dyDescent="0.2">
      <c r="A63" s="577">
        <f t="shared" si="11"/>
        <v>0</v>
      </c>
      <c r="B63" s="537">
        <f t="shared" si="12"/>
        <v>0</v>
      </c>
      <c r="C63" s="537"/>
      <c r="D63" s="589">
        <f t="shared" si="13"/>
        <v>0</v>
      </c>
      <c r="E63" s="529"/>
      <c r="F63" s="531">
        <f t="shared" si="14"/>
        <v>0</v>
      </c>
      <c r="G63" s="531">
        <f t="shared" si="15"/>
        <v>0</v>
      </c>
    </row>
    <row r="64" spans="1:7" ht="19.899999999999999" customHeight="1" x14ac:dyDescent="0.2">
      <c r="A64" s="577">
        <f t="shared" si="11"/>
        <v>0</v>
      </c>
      <c r="B64" s="537">
        <f t="shared" si="12"/>
        <v>0</v>
      </c>
      <c r="C64" s="537"/>
      <c r="D64" s="589">
        <f t="shared" si="13"/>
        <v>0</v>
      </c>
      <c r="E64" s="529"/>
      <c r="F64" s="531">
        <f t="shared" si="14"/>
        <v>0</v>
      </c>
      <c r="G64" s="531">
        <f t="shared" si="15"/>
        <v>0</v>
      </c>
    </row>
    <row r="65" spans="1:8" ht="19.899999999999999" customHeight="1" x14ac:dyDescent="0.2">
      <c r="A65" s="575"/>
      <c r="B65" s="521"/>
      <c r="C65" s="521"/>
      <c r="D65" s="517"/>
      <c r="E65" s="518"/>
      <c r="F65" s="540" t="s">
        <v>29</v>
      </c>
      <c r="G65" s="581">
        <f>SUBTOTAL(9,G54:G64)</f>
        <v>0</v>
      </c>
    </row>
    <row r="66" spans="1:8" ht="19.899999999999999" customHeight="1" x14ac:dyDescent="0.2">
      <c r="A66" s="575"/>
      <c r="B66" s="521"/>
      <c r="C66" s="513" t="s">
        <v>1014</v>
      </c>
      <c r="D66" s="517"/>
      <c r="E66" s="518"/>
      <c r="F66" s="519"/>
      <c r="G66" s="576"/>
    </row>
    <row r="67" spans="1:8" ht="19.899999999999999" customHeight="1" x14ac:dyDescent="0.2">
      <c r="A67" s="775" t="s">
        <v>576</v>
      </c>
      <c r="B67" s="776"/>
      <c r="C67" s="777" t="s">
        <v>0</v>
      </c>
      <c r="D67" s="777" t="s">
        <v>1865</v>
      </c>
      <c r="E67" s="790" t="s">
        <v>24</v>
      </c>
      <c r="F67" s="785" t="s">
        <v>25</v>
      </c>
      <c r="G67" s="787" t="s">
        <v>26</v>
      </c>
    </row>
    <row r="68" spans="1:8" ht="19.899999999999999" customHeight="1" x14ac:dyDescent="0.2">
      <c r="A68" s="536" t="s">
        <v>577</v>
      </c>
      <c r="B68" s="536" t="s">
        <v>578</v>
      </c>
      <c r="C68" s="778"/>
      <c r="D68" s="778"/>
      <c r="E68" s="784"/>
      <c r="F68" s="786"/>
      <c r="G68" s="788"/>
    </row>
    <row r="69" spans="1:8" ht="19.899999999999999" customHeight="1" x14ac:dyDescent="0.2">
      <c r="A69" s="577">
        <f>IFERROR(VLOOKUP(C69,T_Insumos,4,FALSE),0)</f>
        <v>0</v>
      </c>
      <c r="B69" s="537">
        <f>IFERROR(VLOOKUP(C69,T_Insumos,5,FALSE),0)</f>
        <v>0</v>
      </c>
      <c r="C69" s="528"/>
      <c r="D69" s="589">
        <f>IF(C69=0,0,"$/tnkm")</f>
        <v>0</v>
      </c>
      <c r="E69" s="529"/>
      <c r="F69" s="531">
        <f>IFERROR(VLOOKUP(C69,T_Insumos,3,FALSE),0)</f>
        <v>0</v>
      </c>
      <c r="G69" s="531">
        <f>ROUND(E69*F69,2)</f>
        <v>0</v>
      </c>
    </row>
    <row r="70" spans="1:8" ht="19.899999999999999" customHeight="1" x14ac:dyDescent="0.2">
      <c r="A70" s="577">
        <f>IFERROR(VLOOKUP(C70,T_Insumos,4,FALSE),0)</f>
        <v>0</v>
      </c>
      <c r="B70" s="537">
        <f>IFERROR(VLOOKUP(C70,T_Insumos,5,FALSE),0)</f>
        <v>0</v>
      </c>
      <c r="C70" s="528"/>
      <c r="D70" s="589">
        <f>IF(C70=0,0,"$/tnkm")</f>
        <v>0</v>
      </c>
      <c r="E70" s="545"/>
      <c r="F70" s="531">
        <f>IFERROR(VLOOKUP(C70,T_Insumos,3,FALSE),0)</f>
        <v>0</v>
      </c>
      <c r="G70" s="531">
        <f t="shared" ref="G70" si="16">ROUND(E70*F70,2)</f>
        <v>0</v>
      </c>
    </row>
    <row r="71" spans="1:8" ht="19.899999999999999" customHeight="1" x14ac:dyDescent="0.2">
      <c r="A71" s="575"/>
      <c r="B71" s="521"/>
      <c r="C71" s="521"/>
      <c r="D71" s="517"/>
      <c r="E71" s="518"/>
      <c r="F71" s="540" t="s">
        <v>1015</v>
      </c>
      <c r="G71" s="581">
        <f>SUBTOTAL(9,G69:G70)</f>
        <v>0</v>
      </c>
      <c r="H71" s="509"/>
    </row>
    <row r="72" spans="1:8" ht="19.899999999999999" customHeight="1" x14ac:dyDescent="0.2">
      <c r="A72" s="578"/>
      <c r="B72" s="517"/>
      <c r="C72" s="521"/>
      <c r="D72" s="517"/>
      <c r="E72" s="518"/>
      <c r="F72" s="519"/>
      <c r="G72" s="576"/>
      <c r="H72" s="509"/>
    </row>
    <row r="73" spans="1:8" ht="19.899999999999999" customHeight="1" x14ac:dyDescent="0.2">
      <c r="A73" s="640" t="str">
        <f>B7</f>
        <v>1.1</v>
      </c>
      <c r="B73" s="637" t="str">
        <f ca="1">C7</f>
        <v>Topador D8 potencia minima 270hp</v>
      </c>
      <c r="C73" s="517"/>
      <c r="D73" s="517" t="s">
        <v>1831</v>
      </c>
      <c r="E73" s="638"/>
      <c r="F73" s="639" t="str">
        <f ca="1">"$/"&amp;G7</f>
        <v>$/h</v>
      </c>
      <c r="G73" s="586">
        <f>SUBTOTAL(9,G30:G72)</f>
        <v>0</v>
      </c>
      <c r="H73" s="509"/>
    </row>
    <row r="74" spans="1:8" ht="19.899999999999999" customHeight="1" x14ac:dyDescent="0.2">
      <c r="A74" s="582"/>
      <c r="B74" s="583"/>
      <c r="C74" s="584"/>
      <c r="D74" s="584" t="s">
        <v>2041</v>
      </c>
      <c r="E74" s="585"/>
      <c r="F74" s="641" t="str">
        <f ca="1">"$/"&amp;G7</f>
        <v>$/h</v>
      </c>
      <c r="G74" s="586">
        <f>ROUND(G73/Coeficiente_Paso,2)</f>
        <v>0</v>
      </c>
      <c r="H74" s="509"/>
    </row>
    <row r="75" spans="1:8" ht="19.899999999999999" customHeight="1" x14ac:dyDescent="0.2">
      <c r="A75" s="172"/>
      <c r="B75" s="172"/>
      <c r="C75" s="172"/>
      <c r="D75" s="172"/>
      <c r="E75" s="172"/>
      <c r="F75" s="172"/>
      <c r="G75" s="172"/>
      <c r="H75" s="509"/>
    </row>
    <row r="76" spans="1:8" ht="19.899999999999999" customHeight="1" x14ac:dyDescent="0.2">
      <c r="A76" s="779" t="s">
        <v>31</v>
      </c>
      <c r="B76" s="780"/>
      <c r="C76" s="780"/>
      <c r="D76" s="780"/>
      <c r="E76" s="780"/>
      <c r="F76" s="780"/>
      <c r="G76" s="781"/>
    </row>
    <row r="77" spans="1:8" ht="19.899999999999999" customHeight="1" x14ac:dyDescent="0.2">
      <c r="A77" s="563" t="s">
        <v>711</v>
      </c>
      <c r="B77" s="511" t="str">
        <f>Comitente</f>
        <v>DEPARTAMENTO DE HIDRAULICA</v>
      </c>
      <c r="C77" s="512"/>
      <c r="D77" s="513"/>
      <c r="E77" s="513"/>
      <c r="F77" s="514"/>
      <c r="G77" s="564"/>
    </row>
    <row r="78" spans="1:8" ht="19.899999999999999" customHeight="1" x14ac:dyDescent="0.2">
      <c r="A78" s="563" t="s">
        <v>712</v>
      </c>
      <c r="B78" s="511">
        <f>Contratista</f>
        <v>0</v>
      </c>
      <c r="C78" s="515"/>
      <c r="D78" s="515"/>
      <c r="E78" s="515"/>
      <c r="F78" s="511"/>
      <c r="G78" s="565"/>
    </row>
    <row r="79" spans="1:8" ht="19.899999999999999" customHeight="1" x14ac:dyDescent="0.2">
      <c r="A79" s="563" t="s">
        <v>21</v>
      </c>
      <c r="B79" s="511" t="str">
        <f>Obra</f>
        <v xml:space="preserve">CONTRATACION DE 800 HS. TOPADORA   Y/O CARGADORA
PARA MEJORA DE OBRAS DE DEFENSAS DE MATERIAL SUELTO DE BAJADAS DE CRECIENTES, ENCAUZAMIENTOS
-DEPARTAMENTOS ALBARDON - ULLUM - ZONDA -
</v>
      </c>
      <c r="C79" s="515"/>
      <c r="D79" s="515"/>
      <c r="E79" s="515"/>
      <c r="F79" s="511" t="s">
        <v>32</v>
      </c>
      <c r="G79" s="565">
        <f>Fecha_Base</f>
        <v>44295</v>
      </c>
    </row>
    <row r="80" spans="1:8" ht="19.899999999999999" customHeight="1" x14ac:dyDescent="0.2">
      <c r="A80" s="566" t="s">
        <v>710</v>
      </c>
      <c r="B80" s="516" t="str">
        <f>Ubicación</f>
        <v>DEPARTAMENTO ALBARDON, ULLUM Y ZONDA</v>
      </c>
      <c r="C80" s="516"/>
      <c r="D80" s="517"/>
      <c r="E80" s="518"/>
      <c r="F80" s="519"/>
      <c r="G80" s="567"/>
    </row>
    <row r="81" spans="1:7" ht="19.899999999999999" customHeight="1" x14ac:dyDescent="0.2">
      <c r="A81" s="566" t="s">
        <v>33</v>
      </c>
      <c r="B81" s="520">
        <f>IFERROR(VALUE(LEFT(B82,FIND(".",B82)-1)),"")</f>
        <v>2</v>
      </c>
      <c r="C81" s="521" t="str">
        <f ca="1">IFERROR(VLOOKUP(B81,T_Computo_Presupuesto,2,FALSE),0)</f>
        <v>DEPARTAMENTO ULUM-ZONDA</v>
      </c>
      <c r="D81" s="521"/>
      <c r="E81" s="518"/>
      <c r="F81" s="519"/>
      <c r="G81" s="567"/>
    </row>
    <row r="82" spans="1:7" ht="19.899999999999999" customHeight="1" x14ac:dyDescent="0.2">
      <c r="A82" s="566" t="s">
        <v>22</v>
      </c>
      <c r="B82" s="522">
        <f>IFERROR(VLOOKUP(COUNTIF($A$1:A82,"ANALISIS DE PRECIOS"),T_NumeroItem,2,FALSE),"")</f>
        <v>2.1</v>
      </c>
      <c r="C82" s="789" t="str">
        <f ca="1">IFERROR(VLOOKUP(B82,T_Computo_Presupuesto,2,FALSE),0)</f>
        <v>Topador D8 potencia minima 270hp</v>
      </c>
      <c r="D82" s="789"/>
      <c r="E82" s="789"/>
      <c r="F82" s="516" t="s">
        <v>23</v>
      </c>
      <c r="G82" s="568" t="str">
        <f ca="1">IFERROR(VLOOKUP(B82,T_Computo_Presupuesto,4,FALSE),0)</f>
        <v>h</v>
      </c>
    </row>
    <row r="83" spans="1:7" ht="19.899999999999999" customHeight="1" x14ac:dyDescent="0.2">
      <c r="A83" s="566"/>
      <c r="B83" s="516"/>
      <c r="C83" s="521"/>
      <c r="D83" s="517"/>
      <c r="E83" s="518"/>
      <c r="F83" s="521"/>
      <c r="G83" s="569"/>
    </row>
    <row r="84" spans="1:7" ht="19.899999999999999" customHeight="1" x14ac:dyDescent="0.2">
      <c r="A84" s="570"/>
      <c r="B84" s="523"/>
      <c r="C84" s="524" t="s">
        <v>998</v>
      </c>
      <c r="D84" s="523"/>
      <c r="E84" s="523"/>
      <c r="F84" s="523"/>
      <c r="G84" s="571"/>
    </row>
    <row r="85" spans="1:7" ht="19.899999999999999" customHeight="1" x14ac:dyDescent="0.2">
      <c r="A85" s="566"/>
      <c r="B85" s="525"/>
      <c r="C85" s="521"/>
      <c r="D85" s="517"/>
      <c r="E85" s="518"/>
      <c r="F85" s="516"/>
      <c r="G85" s="568"/>
    </row>
    <row r="86" spans="1:7" ht="19.899999999999999" customHeight="1" x14ac:dyDescent="0.2">
      <c r="A86" s="566"/>
      <c r="B86" s="525"/>
      <c r="C86" s="526" t="s">
        <v>999</v>
      </c>
      <c r="D86" s="527" t="s">
        <v>24</v>
      </c>
      <c r="E86" s="527" t="s">
        <v>1000</v>
      </c>
      <c r="F86" s="527" t="s">
        <v>1001</v>
      </c>
      <c r="G86" s="526" t="s">
        <v>1002</v>
      </c>
    </row>
    <row r="87" spans="1:7" ht="19.899999999999999" customHeight="1" x14ac:dyDescent="0.2">
      <c r="A87" s="566"/>
      <c r="B87" s="525"/>
      <c r="C87" s="528"/>
      <c r="D87" s="529"/>
      <c r="E87" s="530">
        <f t="shared" ref="E87:E96" si="17">IFERROR(VLOOKUP(C87,T_Equipos,4,FALSE),0)</f>
        <v>0</v>
      </c>
      <c r="F87" s="531">
        <f t="shared" ref="F87:F96" si="18">IFERROR(VLOOKUP(C87,T_Equipos,5,FALSE),0)</f>
        <v>0</v>
      </c>
      <c r="G87" s="531">
        <f>ROUND(D87*F87,2)</f>
        <v>0</v>
      </c>
    </row>
    <row r="88" spans="1:7" ht="19.899999999999999" customHeight="1" x14ac:dyDescent="0.2">
      <c r="A88" s="566"/>
      <c r="B88" s="525"/>
      <c r="C88" s="528"/>
      <c r="D88" s="529"/>
      <c r="E88" s="530">
        <f t="shared" si="17"/>
        <v>0</v>
      </c>
      <c r="F88" s="531">
        <f t="shared" si="18"/>
        <v>0</v>
      </c>
      <c r="G88" s="531">
        <f>ROUND(D88*F88,2)</f>
        <v>0</v>
      </c>
    </row>
    <row r="89" spans="1:7" ht="19.899999999999999" customHeight="1" x14ac:dyDescent="0.2">
      <c r="A89" s="566"/>
      <c r="B89" s="525"/>
      <c r="C89" s="528"/>
      <c r="D89" s="529"/>
      <c r="E89" s="530">
        <f t="shared" si="17"/>
        <v>0</v>
      </c>
      <c r="F89" s="531">
        <f t="shared" si="18"/>
        <v>0</v>
      </c>
      <c r="G89" s="531">
        <f>ROUND(D89*F89,2)</f>
        <v>0</v>
      </c>
    </row>
    <row r="90" spans="1:7" ht="19.899999999999999" customHeight="1" x14ac:dyDescent="0.2">
      <c r="A90" s="566"/>
      <c r="B90" s="525"/>
      <c r="C90" s="528"/>
      <c r="D90" s="529"/>
      <c r="E90" s="530">
        <f t="shared" si="17"/>
        <v>0</v>
      </c>
      <c r="F90" s="531">
        <f t="shared" si="18"/>
        <v>0</v>
      </c>
      <c r="G90" s="531">
        <f>ROUND(D90*F90,2)</f>
        <v>0</v>
      </c>
    </row>
    <row r="91" spans="1:7" ht="19.899999999999999" customHeight="1" x14ac:dyDescent="0.2">
      <c r="A91" s="566"/>
      <c r="B91" s="525"/>
      <c r="C91" s="528"/>
      <c r="D91" s="529"/>
      <c r="E91" s="530">
        <f t="shared" si="17"/>
        <v>0</v>
      </c>
      <c r="F91" s="531">
        <f t="shared" si="18"/>
        <v>0</v>
      </c>
      <c r="G91" s="531">
        <f t="shared" ref="G91:G96" si="19">ROUND(D91*F91,2)</f>
        <v>0</v>
      </c>
    </row>
    <row r="92" spans="1:7" ht="19.899999999999999" customHeight="1" x14ac:dyDescent="0.2">
      <c r="A92" s="566"/>
      <c r="B92" s="525"/>
      <c r="C92" s="528"/>
      <c r="D92" s="529"/>
      <c r="E92" s="530">
        <f t="shared" si="17"/>
        <v>0</v>
      </c>
      <c r="F92" s="531">
        <f t="shared" si="18"/>
        <v>0</v>
      </c>
      <c r="G92" s="531">
        <f t="shared" si="19"/>
        <v>0</v>
      </c>
    </row>
    <row r="93" spans="1:7" ht="19.899999999999999" customHeight="1" x14ac:dyDescent="0.2">
      <c r="A93" s="566"/>
      <c r="B93" s="525"/>
      <c r="C93" s="528"/>
      <c r="D93" s="529"/>
      <c r="E93" s="530">
        <f t="shared" si="17"/>
        <v>0</v>
      </c>
      <c r="F93" s="531">
        <f t="shared" si="18"/>
        <v>0</v>
      </c>
      <c r="G93" s="531">
        <f t="shared" si="19"/>
        <v>0</v>
      </c>
    </row>
    <row r="94" spans="1:7" ht="19.899999999999999" customHeight="1" x14ac:dyDescent="0.2">
      <c r="A94" s="566"/>
      <c r="B94" s="525"/>
      <c r="C94" s="528"/>
      <c r="D94" s="529"/>
      <c r="E94" s="530">
        <f t="shared" si="17"/>
        <v>0</v>
      </c>
      <c r="F94" s="531">
        <f t="shared" si="18"/>
        <v>0</v>
      </c>
      <c r="G94" s="531">
        <f t="shared" si="19"/>
        <v>0</v>
      </c>
    </row>
    <row r="95" spans="1:7" ht="19.899999999999999" customHeight="1" x14ac:dyDescent="0.2">
      <c r="A95" s="566"/>
      <c r="B95" s="525"/>
      <c r="C95" s="528"/>
      <c r="D95" s="529"/>
      <c r="E95" s="530">
        <f t="shared" si="17"/>
        <v>0</v>
      </c>
      <c r="F95" s="531">
        <f t="shared" si="18"/>
        <v>0</v>
      </c>
      <c r="G95" s="531">
        <f t="shared" si="19"/>
        <v>0</v>
      </c>
    </row>
    <row r="96" spans="1:7" ht="19.899999999999999" customHeight="1" x14ac:dyDescent="0.2">
      <c r="A96" s="566"/>
      <c r="B96" s="525"/>
      <c r="C96" s="528"/>
      <c r="D96" s="529"/>
      <c r="E96" s="530">
        <f t="shared" si="17"/>
        <v>0</v>
      </c>
      <c r="F96" s="531">
        <f t="shared" si="18"/>
        <v>0</v>
      </c>
      <c r="G96" s="531">
        <f t="shared" si="19"/>
        <v>0</v>
      </c>
    </row>
    <row r="97" spans="1:7" ht="19.899999999999999" customHeight="1" x14ac:dyDescent="0.2">
      <c r="A97" s="566"/>
      <c r="B97" s="525"/>
      <c r="C97" s="521"/>
      <c r="D97" s="521"/>
      <c r="E97" s="532"/>
      <c r="F97" s="516"/>
      <c r="G97" s="568"/>
    </row>
    <row r="98" spans="1:7" ht="19.899999999999999" customHeight="1" x14ac:dyDescent="0.2">
      <c r="A98" s="566"/>
      <c r="B98" s="521"/>
      <c r="C98" s="513" t="s">
        <v>1003</v>
      </c>
      <c r="D98" s="516" t="s">
        <v>1000</v>
      </c>
      <c r="E98" s="587">
        <f>SUMPRODUCT(D87:D96,E87:E96)</f>
        <v>0</v>
      </c>
      <c r="F98" s="516" t="s">
        <v>1004</v>
      </c>
      <c r="G98" s="588">
        <f>SUM(G87:G96)</f>
        <v>0</v>
      </c>
    </row>
    <row r="99" spans="1:7" ht="19.899999999999999" customHeight="1" x14ac:dyDescent="0.2">
      <c r="A99" s="566"/>
      <c r="B99" s="525"/>
      <c r="C99" s="533"/>
      <c r="D99" s="532"/>
      <c r="E99" s="518"/>
      <c r="F99" s="516"/>
      <c r="G99" s="572"/>
    </row>
    <row r="100" spans="1:7" ht="19.899999999999999" customHeight="1" x14ac:dyDescent="0.2">
      <c r="A100" s="573"/>
      <c r="B100" s="525"/>
      <c r="C100" s="516" t="s">
        <v>1005</v>
      </c>
      <c r="D100" s="534">
        <f>IFERROR(VLOOKUP(COUNTIF($A$1:A100,"ANALISIS DE PRECIOS"),T_Rendimiento_Equipo,5,FALSE),0)</f>
        <v>0</v>
      </c>
      <c r="E100" s="535" t="str">
        <f ca="1">G82&amp;"/día"</f>
        <v>h/día</v>
      </c>
      <c r="F100" s="574"/>
      <c r="G100" s="568"/>
    </row>
    <row r="101" spans="1:7" ht="19.899999999999999" customHeight="1" x14ac:dyDescent="0.2">
      <c r="A101" s="566"/>
      <c r="B101" s="525"/>
      <c r="C101" s="521"/>
      <c r="D101" s="517"/>
      <c r="E101" s="518"/>
      <c r="F101" s="516"/>
      <c r="G101" s="568"/>
    </row>
    <row r="102" spans="1:7" ht="19.899999999999999" customHeight="1" x14ac:dyDescent="0.2">
      <c r="A102" s="775" t="s">
        <v>576</v>
      </c>
      <c r="B102" s="776"/>
      <c r="C102" s="777" t="s">
        <v>0</v>
      </c>
      <c r="D102" s="782" t="s">
        <v>1864</v>
      </c>
      <c r="E102" s="782" t="s">
        <v>1863</v>
      </c>
      <c r="F102" s="785" t="s">
        <v>1006</v>
      </c>
      <c r="G102" s="787" t="s">
        <v>26</v>
      </c>
    </row>
    <row r="103" spans="1:7" ht="19.899999999999999" customHeight="1" x14ac:dyDescent="0.2">
      <c r="A103" s="536" t="s">
        <v>577</v>
      </c>
      <c r="B103" s="536" t="s">
        <v>578</v>
      </c>
      <c r="C103" s="778"/>
      <c r="D103" s="783"/>
      <c r="E103" s="784"/>
      <c r="F103" s="786"/>
      <c r="G103" s="788"/>
    </row>
    <row r="104" spans="1:7" ht="19.899999999999999" customHeight="1" x14ac:dyDescent="0.2">
      <c r="A104" s="575"/>
      <c r="B104" s="521"/>
      <c r="C104" s="513" t="s">
        <v>1007</v>
      </c>
      <c r="D104" s="518"/>
      <c r="E104" s="518"/>
      <c r="F104" s="521"/>
      <c r="G104" s="576"/>
    </row>
    <row r="105" spans="1:7" ht="19.899999999999999" customHeight="1" x14ac:dyDescent="0.2">
      <c r="A105" s="577">
        <f t="shared" ref="A105:A113" si="20">IFERROR(VLOOKUP(C105,T_Insumos,4,FALSE),0)</f>
        <v>0</v>
      </c>
      <c r="B105" s="537">
        <f t="shared" ref="B105:B113" si="21">IFERROR(VLOOKUP(C105,T_Insumos,5,FALSE),0)</f>
        <v>0</v>
      </c>
      <c r="C105" s="528"/>
      <c r="D105" s="538">
        <f t="shared" ref="D105:D113" si="22">IFERROR(VLOOKUP(C105,T_Insumos,3,FALSE),0)</f>
        <v>0</v>
      </c>
      <c r="E105" s="531">
        <f>D105*$G$23</f>
        <v>0</v>
      </c>
      <c r="F105" s="534">
        <f>IF(C105="",0,IFERROR(VLOOKUP(COUNTIF($A$1:A105,"ANALISIS DE PRECIOS"),T_Rendimiento_Equipo,5,FALSE),0))</f>
        <v>0</v>
      </c>
      <c r="G105" s="531">
        <f>IFERROR(ROUND(E105/F105,2),0)</f>
        <v>0</v>
      </c>
    </row>
    <row r="106" spans="1:7" ht="19.899999999999999" customHeight="1" x14ac:dyDescent="0.2">
      <c r="A106" s="577">
        <f t="shared" si="20"/>
        <v>0</v>
      </c>
      <c r="B106" s="537">
        <f t="shared" si="21"/>
        <v>0</v>
      </c>
      <c r="C106" s="528"/>
      <c r="D106" s="538">
        <f t="shared" si="22"/>
        <v>0</v>
      </c>
      <c r="E106" s="531"/>
      <c r="F106" s="534">
        <f>IF(C106="",0,IFERROR(VLOOKUP(COUNTIF($A$1:A106,"ANALISIS DE PRECIOS"),T_Rendimiento_Equipo,5,FALSE),0))</f>
        <v>0</v>
      </c>
      <c r="G106" s="531">
        <f t="shared" ref="G106:G113" si="23">IFERROR(ROUND(E106/F106,2),0)</f>
        <v>0</v>
      </c>
    </row>
    <row r="107" spans="1:7" ht="19.899999999999999" customHeight="1" x14ac:dyDescent="0.2">
      <c r="A107" s="577">
        <f t="shared" si="20"/>
        <v>0</v>
      </c>
      <c r="B107" s="537">
        <f t="shared" si="21"/>
        <v>0</v>
      </c>
      <c r="C107" s="539"/>
      <c r="D107" s="538">
        <f t="shared" si="22"/>
        <v>0</v>
      </c>
      <c r="E107" s="531"/>
      <c r="F107" s="534">
        <f>IF(C107="",0,IFERROR(VLOOKUP(COUNTIF($A$1:A107,"ANALISIS DE PRECIOS"),T_Rendimiento_Equipo,5,FALSE),0))</f>
        <v>0</v>
      </c>
      <c r="G107" s="531">
        <f t="shared" si="23"/>
        <v>0</v>
      </c>
    </row>
    <row r="108" spans="1:7" ht="19.899999999999999" customHeight="1" x14ac:dyDescent="0.2">
      <c r="A108" s="577">
        <f t="shared" si="20"/>
        <v>0</v>
      </c>
      <c r="B108" s="537">
        <f t="shared" si="21"/>
        <v>0</v>
      </c>
      <c r="C108" s="539"/>
      <c r="D108" s="538">
        <f t="shared" si="22"/>
        <v>0</v>
      </c>
      <c r="E108" s="531"/>
      <c r="F108" s="534">
        <f>IF(C108="",0,IFERROR(VLOOKUP(COUNTIF($A$1:A108,"ANALISIS DE PRECIOS"),T_Rendimiento_Equipo,5,FALSE),0))</f>
        <v>0</v>
      </c>
      <c r="G108" s="531">
        <f t="shared" si="23"/>
        <v>0</v>
      </c>
    </row>
    <row r="109" spans="1:7" ht="19.899999999999999" customHeight="1" x14ac:dyDescent="0.2">
      <c r="A109" s="577">
        <f t="shared" si="20"/>
        <v>0</v>
      </c>
      <c r="B109" s="537">
        <f t="shared" si="21"/>
        <v>0</v>
      </c>
      <c r="C109" s="539"/>
      <c r="D109" s="538">
        <f t="shared" si="22"/>
        <v>0</v>
      </c>
      <c r="E109" s="531"/>
      <c r="F109" s="534">
        <f>IF(C109="",0,IFERROR(VLOOKUP(COUNTIF($A$1:A109,"ANALISIS DE PRECIOS"),T_Rendimiento_Equipo,5,FALSE),0))</f>
        <v>0</v>
      </c>
      <c r="G109" s="531">
        <f t="shared" si="23"/>
        <v>0</v>
      </c>
    </row>
    <row r="110" spans="1:7" ht="19.899999999999999" customHeight="1" x14ac:dyDescent="0.2">
      <c r="A110" s="577">
        <f t="shared" si="20"/>
        <v>0</v>
      </c>
      <c r="B110" s="537">
        <f t="shared" si="21"/>
        <v>0</v>
      </c>
      <c r="C110" s="539"/>
      <c r="D110" s="538">
        <f t="shared" si="22"/>
        <v>0</v>
      </c>
      <c r="E110" s="531"/>
      <c r="F110" s="534">
        <f>IF(C110="",0,IFERROR(VLOOKUP(COUNTIF($A$1:A110,"ANALISIS DE PRECIOS"),T_Rendimiento_Equipo,5,FALSE),0))</f>
        <v>0</v>
      </c>
      <c r="G110" s="531">
        <f t="shared" si="23"/>
        <v>0</v>
      </c>
    </row>
    <row r="111" spans="1:7" ht="19.899999999999999" customHeight="1" x14ac:dyDescent="0.2">
      <c r="A111" s="577">
        <f t="shared" si="20"/>
        <v>0</v>
      </c>
      <c r="B111" s="537">
        <f t="shared" si="21"/>
        <v>0</v>
      </c>
      <c r="C111" s="539"/>
      <c r="D111" s="538">
        <f t="shared" si="22"/>
        <v>0</v>
      </c>
      <c r="E111" s="531"/>
      <c r="F111" s="534">
        <f>IF(C111="",0,IFERROR(VLOOKUP(COUNTIF($A$1:A111,"ANALISIS DE PRECIOS"),T_Rendimiento_Equipo,5,FALSE),0))</f>
        <v>0</v>
      </c>
      <c r="G111" s="531">
        <f t="shared" si="23"/>
        <v>0</v>
      </c>
    </row>
    <row r="112" spans="1:7" ht="19.899999999999999" customHeight="1" x14ac:dyDescent="0.2">
      <c r="A112" s="577">
        <f t="shared" si="20"/>
        <v>0</v>
      </c>
      <c r="B112" s="537">
        <f t="shared" si="21"/>
        <v>0</v>
      </c>
      <c r="C112" s="539"/>
      <c r="D112" s="538">
        <f t="shared" si="22"/>
        <v>0</v>
      </c>
      <c r="E112" s="531"/>
      <c r="F112" s="534">
        <f>IF(C112="",0,IFERROR(VLOOKUP(COUNTIF($A$1:A112,"ANALISIS DE PRECIOS"),T_Rendimiento_Equipo,5,FALSE),0))</f>
        <v>0</v>
      </c>
      <c r="G112" s="531">
        <f t="shared" si="23"/>
        <v>0</v>
      </c>
    </row>
    <row r="113" spans="1:7" ht="19.899999999999999" customHeight="1" x14ac:dyDescent="0.2">
      <c r="A113" s="577">
        <f t="shared" si="20"/>
        <v>0</v>
      </c>
      <c r="B113" s="537">
        <f t="shared" si="21"/>
        <v>0</v>
      </c>
      <c r="C113" s="528"/>
      <c r="D113" s="538">
        <f t="shared" si="22"/>
        <v>0</v>
      </c>
      <c r="E113" s="531"/>
      <c r="F113" s="534">
        <f>IF(C113="",0,IFERROR(VLOOKUP(COUNTIF($A$1:A113,"ANALISIS DE PRECIOS"),T_Rendimiento_Equipo,5,FALSE),0))</f>
        <v>0</v>
      </c>
      <c r="G113" s="531">
        <f t="shared" si="23"/>
        <v>0</v>
      </c>
    </row>
    <row r="114" spans="1:7" ht="19.899999999999999" customHeight="1" x14ac:dyDescent="0.2">
      <c r="A114" s="578"/>
      <c r="B114" s="517"/>
      <c r="C114" s="521"/>
      <c r="D114" s="517"/>
      <c r="E114" s="518"/>
      <c r="F114" s="748" t="s">
        <v>27</v>
      </c>
      <c r="G114" s="579">
        <f>SUBTOTAL(9,G105:G113)</f>
        <v>0</v>
      </c>
    </row>
    <row r="115" spans="1:7" ht="19.899999999999999" customHeight="1" x14ac:dyDescent="0.2">
      <c r="A115" s="575"/>
      <c r="B115" s="521"/>
      <c r="C115" s="513" t="s">
        <v>713</v>
      </c>
      <c r="D115" s="517"/>
      <c r="E115" s="518"/>
      <c r="F115" s="519"/>
      <c r="G115" s="576"/>
    </row>
    <row r="116" spans="1:7" ht="19.899999999999999" customHeight="1" x14ac:dyDescent="0.2">
      <c r="A116" s="775" t="s">
        <v>576</v>
      </c>
      <c r="B116" s="776"/>
      <c r="C116" s="777" t="s">
        <v>0</v>
      </c>
      <c r="D116" s="790" t="s">
        <v>24</v>
      </c>
      <c r="E116" s="790" t="s">
        <v>1830</v>
      </c>
      <c r="F116" s="785" t="s">
        <v>1006</v>
      </c>
      <c r="G116" s="787" t="s">
        <v>26</v>
      </c>
    </row>
    <row r="117" spans="1:7" ht="19.899999999999999" customHeight="1" x14ac:dyDescent="0.2">
      <c r="A117" s="536" t="s">
        <v>577</v>
      </c>
      <c r="B117" s="536" t="s">
        <v>578</v>
      </c>
      <c r="C117" s="778"/>
      <c r="D117" s="784"/>
      <c r="E117" s="784"/>
      <c r="F117" s="786"/>
      <c r="G117" s="788"/>
    </row>
    <row r="118" spans="1:7" ht="19.899999999999999" customHeight="1" x14ac:dyDescent="0.2">
      <c r="A118" s="577">
        <f t="shared" ref="A118:A124" si="24">IFERROR(VLOOKUP(C118,T_Insumos,4,FALSE),0)</f>
        <v>0</v>
      </c>
      <c r="B118" s="537">
        <f t="shared" ref="B118:B124" si="25">IFERROR(VLOOKUP(C118,T_Insumos,5,FALSE),0)</f>
        <v>0</v>
      </c>
      <c r="C118" s="541"/>
      <c r="D118" s="534"/>
      <c r="E118" s="531">
        <f t="shared" ref="E118:E124" si="26">IFERROR(VLOOKUP(C118,T_Insumos,3,FALSE),0)</f>
        <v>0</v>
      </c>
      <c r="F118" s="534">
        <f>IF(C118="",0,IFERROR(VLOOKUP(COUNTIF($A$1:A118,"ANALISIS DE PRECIOS"),T_Rendimiento_Equipo,5,FALSE),0))</f>
        <v>0</v>
      </c>
      <c r="G118" s="531">
        <f>IFERROR(ROUND(D118*E118/F118,2),0)</f>
        <v>0</v>
      </c>
    </row>
    <row r="119" spans="1:7" ht="19.899999999999999" customHeight="1" x14ac:dyDescent="0.2">
      <c r="A119" s="577">
        <f t="shared" si="24"/>
        <v>0</v>
      </c>
      <c r="B119" s="537">
        <f t="shared" si="25"/>
        <v>0</v>
      </c>
      <c r="C119" s="528"/>
      <c r="D119" s="534"/>
      <c r="E119" s="531">
        <f t="shared" si="26"/>
        <v>0</v>
      </c>
      <c r="F119" s="534">
        <f>IF(C119="",0,IFERROR(VLOOKUP(COUNTIF($A$1:A119,"ANALISIS DE PRECIOS"),T_Rendimiento_Equipo,5,FALSE),0))</f>
        <v>0</v>
      </c>
      <c r="G119" s="531">
        <f t="shared" ref="G119:G124" si="27">IFERROR(ROUND(D119*E119/F119,2),0)</f>
        <v>0</v>
      </c>
    </row>
    <row r="120" spans="1:7" ht="19.899999999999999" customHeight="1" x14ac:dyDescent="0.2">
      <c r="A120" s="577">
        <f t="shared" si="24"/>
        <v>0</v>
      </c>
      <c r="B120" s="537">
        <f t="shared" si="25"/>
        <v>0</v>
      </c>
      <c r="C120" s="528"/>
      <c r="D120" s="534"/>
      <c r="E120" s="531">
        <f t="shared" si="26"/>
        <v>0</v>
      </c>
      <c r="F120" s="534">
        <f>IF(C120="",0,IFERROR(VLOOKUP(COUNTIF($A$1:A120,"ANALISIS DE PRECIOS"),T_Rendimiento_Equipo,5,FALSE),0))</f>
        <v>0</v>
      </c>
      <c r="G120" s="531">
        <f t="shared" si="27"/>
        <v>0</v>
      </c>
    </row>
    <row r="121" spans="1:7" ht="19.899999999999999" customHeight="1" x14ac:dyDescent="0.2">
      <c r="A121" s="577">
        <f t="shared" si="24"/>
        <v>0</v>
      </c>
      <c r="B121" s="537">
        <f t="shared" si="25"/>
        <v>0</v>
      </c>
      <c r="C121" s="528"/>
      <c r="D121" s="534"/>
      <c r="E121" s="531">
        <f t="shared" si="26"/>
        <v>0</v>
      </c>
      <c r="F121" s="534">
        <f>IF(C121="",0,IFERROR(VLOOKUP(COUNTIF($A$1:A121,"ANALISIS DE PRECIOS"),T_Rendimiento_Equipo,5,FALSE),0))</f>
        <v>0</v>
      </c>
      <c r="G121" s="531">
        <f t="shared" si="27"/>
        <v>0</v>
      </c>
    </row>
    <row r="122" spans="1:7" ht="19.899999999999999" customHeight="1" x14ac:dyDescent="0.2">
      <c r="A122" s="577">
        <f t="shared" si="24"/>
        <v>0</v>
      </c>
      <c r="B122" s="537">
        <f t="shared" si="25"/>
        <v>0</v>
      </c>
      <c r="C122" s="528"/>
      <c r="D122" s="534"/>
      <c r="E122" s="531">
        <f t="shared" si="26"/>
        <v>0</v>
      </c>
      <c r="F122" s="534">
        <f>IF(C122="",0,IFERROR(VLOOKUP(COUNTIF($A$1:A122,"ANALISIS DE PRECIOS"),T_Rendimiento_Equipo,5,FALSE),0))</f>
        <v>0</v>
      </c>
      <c r="G122" s="531">
        <f t="shared" si="27"/>
        <v>0</v>
      </c>
    </row>
    <row r="123" spans="1:7" ht="19.899999999999999" customHeight="1" x14ac:dyDescent="0.2">
      <c r="A123" s="577">
        <f t="shared" si="24"/>
        <v>0</v>
      </c>
      <c r="B123" s="537">
        <f t="shared" si="25"/>
        <v>0</v>
      </c>
      <c r="C123" s="528"/>
      <c r="D123" s="542"/>
      <c r="E123" s="531">
        <f t="shared" si="26"/>
        <v>0</v>
      </c>
      <c r="F123" s="534">
        <f>IF(C123="",0,IFERROR(VLOOKUP(COUNTIF($A$1:A123,"ANALISIS DE PRECIOS"),T_Rendimiento_Equipo,5,FALSE),0))</f>
        <v>0</v>
      </c>
      <c r="G123" s="531">
        <f t="shared" si="27"/>
        <v>0</v>
      </c>
    </row>
    <row r="124" spans="1:7" ht="19.899999999999999" customHeight="1" x14ac:dyDescent="0.2">
      <c r="A124" s="577">
        <f t="shared" si="24"/>
        <v>0</v>
      </c>
      <c r="B124" s="537">
        <f t="shared" si="25"/>
        <v>0</v>
      </c>
      <c r="C124" s="537"/>
      <c r="D124" s="543"/>
      <c r="E124" s="531">
        <f t="shared" si="26"/>
        <v>0</v>
      </c>
      <c r="F124" s="534">
        <f>IF(C124="",0,IFERROR(VLOOKUP(COUNTIF($A$1:A124,"ANALISIS DE PRECIOS"),T_Rendimiento_Equipo,5,FALSE),0))</f>
        <v>0</v>
      </c>
      <c r="G124" s="531">
        <f t="shared" si="27"/>
        <v>0</v>
      </c>
    </row>
    <row r="125" spans="1:7" ht="19.899999999999999" customHeight="1" x14ac:dyDescent="0.2">
      <c r="A125" s="578"/>
      <c r="B125" s="517"/>
      <c r="C125" s="521"/>
      <c r="D125" s="517"/>
      <c r="E125" s="518"/>
      <c r="F125" s="748" t="s">
        <v>28</v>
      </c>
      <c r="G125" s="580">
        <f>SUBTOTAL(9,G118:G124)</f>
        <v>0</v>
      </c>
    </row>
    <row r="126" spans="1:7" ht="19.899999999999999" customHeight="1" x14ac:dyDescent="0.2">
      <c r="A126" s="575"/>
      <c r="B126" s="521"/>
      <c r="C126" s="513" t="s">
        <v>1013</v>
      </c>
      <c r="D126" s="517"/>
      <c r="E126" s="518"/>
      <c r="F126" s="519"/>
      <c r="G126" s="576"/>
    </row>
    <row r="127" spans="1:7" ht="19.899999999999999" customHeight="1" x14ac:dyDescent="0.2">
      <c r="A127" s="775" t="s">
        <v>576</v>
      </c>
      <c r="B127" s="776"/>
      <c r="C127" s="777" t="s">
        <v>0</v>
      </c>
      <c r="D127" s="777" t="s">
        <v>1865</v>
      </c>
      <c r="E127" s="790" t="s">
        <v>24</v>
      </c>
      <c r="F127" s="785" t="s">
        <v>25</v>
      </c>
      <c r="G127" s="787" t="s">
        <v>26</v>
      </c>
    </row>
    <row r="128" spans="1:7" ht="19.899999999999999" customHeight="1" x14ac:dyDescent="0.2">
      <c r="A128" s="536" t="s">
        <v>577</v>
      </c>
      <c r="B128" s="536" t="s">
        <v>578</v>
      </c>
      <c r="C128" s="778"/>
      <c r="D128" s="778"/>
      <c r="E128" s="784"/>
      <c r="F128" s="786"/>
      <c r="G128" s="788"/>
    </row>
    <row r="129" spans="1:7" ht="19.899999999999999" customHeight="1" x14ac:dyDescent="0.2">
      <c r="A129" s="577">
        <f t="shared" ref="A129:A139" si="28">IFERROR(VLOOKUP(C129,T_Insumos,4,FALSE),0)</f>
        <v>0</v>
      </c>
      <c r="B129" s="537">
        <f t="shared" ref="B129:B139" si="29">IFERROR(VLOOKUP(C129,T_Insumos,5,FALSE),0)</f>
        <v>0</v>
      </c>
      <c r="C129" s="537"/>
      <c r="D129" s="589">
        <f t="shared" ref="D129:D139" si="30">IFERROR(VLOOKUP(C129,T_Insumos,2,FALSE),0)</f>
        <v>0</v>
      </c>
      <c r="E129" s="529"/>
      <c r="F129" s="531">
        <f t="shared" ref="F129:F139" si="31">IFERROR(VLOOKUP(C129,T_Insumos,3,FALSE),0)</f>
        <v>0</v>
      </c>
      <c r="G129" s="531">
        <f>ROUND(E129*F129,2)</f>
        <v>0</v>
      </c>
    </row>
    <row r="130" spans="1:7" ht="19.899999999999999" customHeight="1" x14ac:dyDescent="0.2">
      <c r="A130" s="577">
        <f t="shared" si="28"/>
        <v>0</v>
      </c>
      <c r="B130" s="537">
        <f t="shared" si="29"/>
        <v>0</v>
      </c>
      <c r="C130" s="537"/>
      <c r="D130" s="589">
        <f t="shared" si="30"/>
        <v>0</v>
      </c>
      <c r="E130" s="529"/>
      <c r="F130" s="531">
        <f t="shared" si="31"/>
        <v>0</v>
      </c>
      <c r="G130" s="531">
        <f t="shared" ref="G130:G139" si="32">ROUND(E130*F130,2)</f>
        <v>0</v>
      </c>
    </row>
    <row r="131" spans="1:7" ht="19.899999999999999" customHeight="1" x14ac:dyDescent="0.2">
      <c r="A131" s="577">
        <f t="shared" si="28"/>
        <v>0</v>
      </c>
      <c r="B131" s="537">
        <f t="shared" si="29"/>
        <v>0</v>
      </c>
      <c r="C131" s="537"/>
      <c r="D131" s="589">
        <f t="shared" si="30"/>
        <v>0</v>
      </c>
      <c r="E131" s="529"/>
      <c r="F131" s="531">
        <f t="shared" si="31"/>
        <v>0</v>
      </c>
      <c r="G131" s="531">
        <f t="shared" si="32"/>
        <v>0</v>
      </c>
    </row>
    <row r="132" spans="1:7" ht="19.899999999999999" customHeight="1" x14ac:dyDescent="0.2">
      <c r="A132" s="577">
        <f t="shared" si="28"/>
        <v>0</v>
      </c>
      <c r="B132" s="537">
        <f t="shared" si="29"/>
        <v>0</v>
      </c>
      <c r="C132" s="537"/>
      <c r="D132" s="589">
        <f t="shared" si="30"/>
        <v>0</v>
      </c>
      <c r="E132" s="529"/>
      <c r="F132" s="531">
        <f t="shared" si="31"/>
        <v>0</v>
      </c>
      <c r="G132" s="531">
        <f t="shared" si="32"/>
        <v>0</v>
      </c>
    </row>
    <row r="133" spans="1:7" ht="19.899999999999999" customHeight="1" x14ac:dyDescent="0.2">
      <c r="A133" s="577">
        <f t="shared" si="28"/>
        <v>0</v>
      </c>
      <c r="B133" s="537">
        <f t="shared" si="29"/>
        <v>0</v>
      </c>
      <c r="C133" s="537"/>
      <c r="D133" s="589">
        <f t="shared" si="30"/>
        <v>0</v>
      </c>
      <c r="E133" s="529"/>
      <c r="F133" s="531">
        <f t="shared" si="31"/>
        <v>0</v>
      </c>
      <c r="G133" s="531">
        <f t="shared" si="32"/>
        <v>0</v>
      </c>
    </row>
    <row r="134" spans="1:7" ht="19.899999999999999" customHeight="1" x14ac:dyDescent="0.2">
      <c r="A134" s="577">
        <f t="shared" si="28"/>
        <v>0</v>
      </c>
      <c r="B134" s="537">
        <f t="shared" si="29"/>
        <v>0</v>
      </c>
      <c r="C134" s="537"/>
      <c r="D134" s="589">
        <f t="shared" si="30"/>
        <v>0</v>
      </c>
      <c r="E134" s="529"/>
      <c r="F134" s="531">
        <f t="shared" si="31"/>
        <v>0</v>
      </c>
      <c r="G134" s="531">
        <f t="shared" si="32"/>
        <v>0</v>
      </c>
    </row>
    <row r="135" spans="1:7" ht="19.899999999999999" customHeight="1" x14ac:dyDescent="0.2">
      <c r="A135" s="577">
        <f t="shared" si="28"/>
        <v>0</v>
      </c>
      <c r="B135" s="537">
        <f t="shared" si="29"/>
        <v>0</v>
      </c>
      <c r="C135" s="537"/>
      <c r="D135" s="589">
        <f t="shared" si="30"/>
        <v>0</v>
      </c>
      <c r="E135" s="529"/>
      <c r="F135" s="531">
        <f t="shared" si="31"/>
        <v>0</v>
      </c>
      <c r="G135" s="531">
        <f t="shared" si="32"/>
        <v>0</v>
      </c>
    </row>
    <row r="136" spans="1:7" ht="19.899999999999999" customHeight="1" x14ac:dyDescent="0.2">
      <c r="A136" s="577">
        <f t="shared" si="28"/>
        <v>0</v>
      </c>
      <c r="B136" s="537">
        <f t="shared" si="29"/>
        <v>0</v>
      </c>
      <c r="C136" s="537"/>
      <c r="D136" s="589">
        <f t="shared" si="30"/>
        <v>0</v>
      </c>
      <c r="E136" s="529"/>
      <c r="F136" s="531">
        <f t="shared" si="31"/>
        <v>0</v>
      </c>
      <c r="G136" s="531">
        <f t="shared" si="32"/>
        <v>0</v>
      </c>
    </row>
    <row r="137" spans="1:7" ht="19.899999999999999" customHeight="1" x14ac:dyDescent="0.2">
      <c r="A137" s="577">
        <f t="shared" si="28"/>
        <v>0</v>
      </c>
      <c r="B137" s="537">
        <f t="shared" si="29"/>
        <v>0</v>
      </c>
      <c r="C137" s="537"/>
      <c r="D137" s="589">
        <f t="shared" si="30"/>
        <v>0</v>
      </c>
      <c r="E137" s="529"/>
      <c r="F137" s="531">
        <f t="shared" si="31"/>
        <v>0</v>
      </c>
      <c r="G137" s="531">
        <f t="shared" si="32"/>
        <v>0</v>
      </c>
    </row>
    <row r="138" spans="1:7" ht="19.899999999999999" customHeight="1" x14ac:dyDescent="0.2">
      <c r="A138" s="577">
        <f t="shared" si="28"/>
        <v>0</v>
      </c>
      <c r="B138" s="537">
        <f t="shared" si="29"/>
        <v>0</v>
      </c>
      <c r="C138" s="537"/>
      <c r="D138" s="589">
        <f t="shared" si="30"/>
        <v>0</v>
      </c>
      <c r="E138" s="529"/>
      <c r="F138" s="531">
        <f t="shared" si="31"/>
        <v>0</v>
      </c>
      <c r="G138" s="531">
        <f t="shared" si="32"/>
        <v>0</v>
      </c>
    </row>
    <row r="139" spans="1:7" ht="19.899999999999999" customHeight="1" x14ac:dyDescent="0.2">
      <c r="A139" s="577">
        <f t="shared" si="28"/>
        <v>0</v>
      </c>
      <c r="B139" s="537">
        <f t="shared" si="29"/>
        <v>0</v>
      </c>
      <c r="C139" s="537"/>
      <c r="D139" s="589">
        <f t="shared" si="30"/>
        <v>0</v>
      </c>
      <c r="E139" s="529"/>
      <c r="F139" s="531">
        <f t="shared" si="31"/>
        <v>0</v>
      </c>
      <c r="G139" s="531">
        <f t="shared" si="32"/>
        <v>0</v>
      </c>
    </row>
    <row r="140" spans="1:7" ht="19.899999999999999" customHeight="1" x14ac:dyDescent="0.2">
      <c r="A140" s="575"/>
      <c r="B140" s="521"/>
      <c r="C140" s="521"/>
      <c r="D140" s="517"/>
      <c r="E140" s="518"/>
      <c r="F140" s="748" t="s">
        <v>29</v>
      </c>
      <c r="G140" s="581">
        <f>SUBTOTAL(9,G129:G139)</f>
        <v>0</v>
      </c>
    </row>
    <row r="141" spans="1:7" ht="19.899999999999999" customHeight="1" x14ac:dyDescent="0.2">
      <c r="A141" s="575"/>
      <c r="B141" s="521"/>
      <c r="C141" s="513" t="s">
        <v>1014</v>
      </c>
      <c r="D141" s="517"/>
      <c r="E141" s="518"/>
      <c r="F141" s="519"/>
      <c r="G141" s="576"/>
    </row>
    <row r="142" spans="1:7" ht="19.899999999999999" customHeight="1" x14ac:dyDescent="0.2">
      <c r="A142" s="775" t="s">
        <v>576</v>
      </c>
      <c r="B142" s="776"/>
      <c r="C142" s="777" t="s">
        <v>0</v>
      </c>
      <c r="D142" s="777" t="s">
        <v>1865</v>
      </c>
      <c r="E142" s="790" t="s">
        <v>24</v>
      </c>
      <c r="F142" s="785" t="s">
        <v>25</v>
      </c>
      <c r="G142" s="787" t="s">
        <v>26</v>
      </c>
    </row>
    <row r="143" spans="1:7" ht="19.899999999999999" customHeight="1" x14ac:dyDescent="0.2">
      <c r="A143" s="536" t="s">
        <v>577</v>
      </c>
      <c r="B143" s="536" t="s">
        <v>578</v>
      </c>
      <c r="C143" s="778"/>
      <c r="D143" s="778"/>
      <c r="E143" s="784"/>
      <c r="F143" s="786"/>
      <c r="G143" s="788"/>
    </row>
    <row r="144" spans="1:7" ht="19.899999999999999" customHeight="1" x14ac:dyDescent="0.2">
      <c r="A144" s="577">
        <f>IFERROR(VLOOKUP(C144,T_Insumos,4,FALSE),0)</f>
        <v>0</v>
      </c>
      <c r="B144" s="537">
        <f>IFERROR(VLOOKUP(C144,T_Insumos,5,FALSE),0)</f>
        <v>0</v>
      </c>
      <c r="C144" s="528"/>
      <c r="D144" s="589">
        <f>IF(C144=0,0,"$/tnkm")</f>
        <v>0</v>
      </c>
      <c r="E144" s="529"/>
      <c r="F144" s="531">
        <f>IFERROR(VLOOKUP(C144,T_Insumos,3,FALSE),0)</f>
        <v>0</v>
      </c>
      <c r="G144" s="531">
        <f>ROUND(E144*F144,2)</f>
        <v>0</v>
      </c>
    </row>
    <row r="145" spans="1:7" ht="19.899999999999999" customHeight="1" x14ac:dyDescent="0.2">
      <c r="A145" s="577">
        <f>IFERROR(VLOOKUP(C145,T_Insumos,4,FALSE),0)</f>
        <v>0</v>
      </c>
      <c r="B145" s="537">
        <f>IFERROR(VLOOKUP(C145,T_Insumos,5,FALSE),0)</f>
        <v>0</v>
      </c>
      <c r="C145" s="528"/>
      <c r="D145" s="589">
        <f>IF(C145=0,0,"$/tnkm")</f>
        <v>0</v>
      </c>
      <c r="E145" s="545"/>
      <c r="F145" s="531">
        <f>IFERROR(VLOOKUP(C145,T_Insumos,3,FALSE),0)</f>
        <v>0</v>
      </c>
      <c r="G145" s="531">
        <f t="shared" ref="G145" si="33">ROUND(E145*F145,2)</f>
        <v>0</v>
      </c>
    </row>
    <row r="146" spans="1:7" ht="19.899999999999999" customHeight="1" x14ac:dyDescent="0.2">
      <c r="A146" s="575"/>
      <c r="B146" s="521"/>
      <c r="C146" s="521"/>
      <c r="D146" s="517"/>
      <c r="E146" s="518"/>
      <c r="F146" s="748" t="s">
        <v>1015</v>
      </c>
      <c r="G146" s="581">
        <f>SUBTOTAL(9,G144:G145)</f>
        <v>0</v>
      </c>
    </row>
    <row r="147" spans="1:7" ht="19.899999999999999" customHeight="1" x14ac:dyDescent="0.2">
      <c r="A147" s="578"/>
      <c r="B147" s="517"/>
      <c r="C147" s="521"/>
      <c r="D147" s="517"/>
      <c r="E147" s="518"/>
      <c r="F147" s="519"/>
      <c r="G147" s="576"/>
    </row>
    <row r="148" spans="1:7" ht="19.899999999999999" customHeight="1" x14ac:dyDescent="0.2">
      <c r="A148" s="640">
        <f>B82</f>
        <v>2.1</v>
      </c>
      <c r="B148" s="637" t="str">
        <f ca="1">C82</f>
        <v>Topador D8 potencia minima 270hp</v>
      </c>
      <c r="C148" s="517"/>
      <c r="D148" s="517" t="s">
        <v>1831</v>
      </c>
      <c r="E148" s="638"/>
      <c r="F148" s="639" t="str">
        <f ca="1">"$/"&amp;G82</f>
        <v>$/h</v>
      </c>
      <c r="G148" s="586">
        <f>SUBTOTAL(9,G105:G147)</f>
        <v>0</v>
      </c>
    </row>
    <row r="149" spans="1:7" ht="19.899999999999999" customHeight="1" x14ac:dyDescent="0.2">
      <c r="A149" s="582"/>
      <c r="B149" s="583"/>
      <c r="C149" s="584"/>
      <c r="D149" s="584" t="s">
        <v>2041</v>
      </c>
      <c r="E149" s="585"/>
      <c r="F149" s="641" t="str">
        <f ca="1">"$/"&amp;G82</f>
        <v>$/h</v>
      </c>
      <c r="G149" s="586">
        <f>ROUND(G148/Coeficiente_Paso,2)</f>
        <v>0</v>
      </c>
    </row>
  </sheetData>
  <sheetProtection insertRows="0" deleteRows="0"/>
  <mergeCells count="52">
    <mergeCell ref="G142:G143"/>
    <mergeCell ref="A142:B142"/>
    <mergeCell ref="C142:C143"/>
    <mergeCell ref="D142:D143"/>
    <mergeCell ref="E142:E143"/>
    <mergeCell ref="F142:F143"/>
    <mergeCell ref="G116:G117"/>
    <mergeCell ref="A127:B127"/>
    <mergeCell ref="C127:C128"/>
    <mergeCell ref="D127:D128"/>
    <mergeCell ref="E127:E128"/>
    <mergeCell ref="F127:F128"/>
    <mergeCell ref="G127:G128"/>
    <mergeCell ref="A116:B116"/>
    <mergeCell ref="C116:C117"/>
    <mergeCell ref="D116:D117"/>
    <mergeCell ref="E116:E117"/>
    <mergeCell ref="F116:F117"/>
    <mergeCell ref="A76:G76"/>
    <mergeCell ref="C82:E82"/>
    <mergeCell ref="A102:B102"/>
    <mergeCell ref="C102:C103"/>
    <mergeCell ref="D102:D103"/>
    <mergeCell ref="E102:E103"/>
    <mergeCell ref="F102:F103"/>
    <mergeCell ref="G102:G103"/>
    <mergeCell ref="G52:G53"/>
    <mergeCell ref="A67:B67"/>
    <mergeCell ref="C67:C68"/>
    <mergeCell ref="D67:D68"/>
    <mergeCell ref="E67:E68"/>
    <mergeCell ref="F67:F68"/>
    <mergeCell ref="G67:G68"/>
    <mergeCell ref="A52:B52"/>
    <mergeCell ref="C52:C53"/>
    <mergeCell ref="D52:D53"/>
    <mergeCell ref="E52:E53"/>
    <mergeCell ref="F52:F53"/>
    <mergeCell ref="A41:B41"/>
    <mergeCell ref="C41:C42"/>
    <mergeCell ref="A1:G1"/>
    <mergeCell ref="A27:B27"/>
    <mergeCell ref="C27:C28"/>
    <mergeCell ref="D27:D28"/>
    <mergeCell ref="E27:E28"/>
    <mergeCell ref="F27:F28"/>
    <mergeCell ref="G27:G28"/>
    <mergeCell ref="C7:E7"/>
    <mergeCell ref="D41:D42"/>
    <mergeCell ref="E41:E42"/>
    <mergeCell ref="F41:F42"/>
    <mergeCell ref="G41:G42"/>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25"/>
  <sheetViews>
    <sheetView showZeros="0" view="pageBreakPreview" topLeftCell="A10" zoomScaleNormal="100" zoomScaleSheetLayoutView="100" workbookViewId="0">
      <selection activeCell="J22" sqref="J22"/>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85" customWidth="1"/>
    <col min="31" max="79" width="11.42578125" style="85"/>
    <col min="80" max="16384" width="11.42578125" style="9"/>
  </cols>
  <sheetData>
    <row r="1" spans="1:79" s="5" customFormat="1" ht="20.100000000000001" customHeight="1" x14ac:dyDescent="0.2">
      <c r="A1" s="3" t="s">
        <v>8</v>
      </c>
      <c r="B1" s="3"/>
      <c r="C1" s="3" t="str">
        <f>Comitente</f>
        <v>DEPARTAMENTO DE HIDRAULICA</v>
      </c>
      <c r="D1" s="4"/>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row>
    <row r="2" spans="1:79" s="6" customFormat="1" ht="20.100000000000001" customHeight="1" x14ac:dyDescent="0.2">
      <c r="A2" s="13" t="s">
        <v>9</v>
      </c>
      <c r="B2" s="13"/>
      <c r="C2" s="13" t="str">
        <f>Obra</f>
        <v xml:space="preserve">CONTRATACION DE 800 HS. TOPADORA   Y/O CARGADORA
PARA MEJORA DE OBRAS DE DEFENSAS DE MATERIAL SUELTO DE BAJADAS DE CRECIENTES, ENCAUZAMIENTOS
-DEPARTAMENTOS ALBARDON - ULLUM - ZONDA -
</v>
      </c>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row>
    <row r="3" spans="1:79" s="6" customFormat="1" ht="20.100000000000001" customHeight="1" x14ac:dyDescent="0.2">
      <c r="A3" s="13" t="s">
        <v>13</v>
      </c>
      <c r="B3" s="13"/>
      <c r="C3" s="13" t="str">
        <f>Ubicación</f>
        <v>DEPARTAMENTO ALBARDON, ULLUM Y ZONDA</v>
      </c>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row>
    <row r="4" spans="1:79" s="6" customFormat="1" ht="20.100000000000001" customHeight="1" x14ac:dyDescent="0.2">
      <c r="A4" s="13" t="s">
        <v>12</v>
      </c>
      <c r="B4" s="14"/>
      <c r="C4" s="62" t="str">
        <f>Licitación_N°</f>
        <v>02/2021</v>
      </c>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row>
    <row r="5" spans="1:79" s="6" customFormat="1" ht="20.100000000000001" customHeight="1" x14ac:dyDescent="0.2">
      <c r="A5" s="13" t="s">
        <v>14</v>
      </c>
      <c r="B5" s="14"/>
      <c r="C5" s="63">
        <f>Plazo_Obra</f>
        <v>120</v>
      </c>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row>
    <row r="6" spans="1:79" s="6" customFormat="1" ht="20.100000000000001" customHeight="1" x14ac:dyDescent="0.2">
      <c r="A6" s="13" t="s">
        <v>10</v>
      </c>
      <c r="B6" s="13"/>
      <c r="C6" s="13">
        <f>Contratista</f>
        <v>0</v>
      </c>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row>
    <row r="7" spans="1:79" s="2" customFormat="1" ht="20.100000000000001" customHeight="1" x14ac:dyDescent="0.2">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s="2" customFormat="1" ht="20.100000000000001" customHeight="1" x14ac:dyDescent="0.2">
      <c r="A8" s="791" t="s">
        <v>39</v>
      </c>
      <c r="B8" s="792"/>
      <c r="C8" s="792"/>
      <c r="D8" s="793"/>
      <c r="E8" s="8"/>
      <c r="F8" s="8"/>
      <c r="G8" s="8"/>
      <c r="H8" s="8"/>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10" spans="1:79" ht="20.100000000000001" customHeight="1" x14ac:dyDescent="0.2">
      <c r="A10" s="765" t="s">
        <v>894</v>
      </c>
      <c r="B10" s="794" t="s">
        <v>0</v>
      </c>
      <c r="C10" s="794"/>
      <c r="D10" s="796" t="s">
        <v>11</v>
      </c>
      <c r="E10" s="44"/>
      <c r="F10" s="794" t="s">
        <v>17</v>
      </c>
      <c r="G10" s="794"/>
      <c r="H10" s="794"/>
      <c r="I10" s="21"/>
      <c r="J10" s="795" t="s">
        <v>16</v>
      </c>
    </row>
    <row r="11" spans="1:79" ht="20.100000000000001" customHeight="1" x14ac:dyDescent="0.2">
      <c r="A11" s="765"/>
      <c r="B11" s="794"/>
      <c r="C11" s="794"/>
      <c r="D11" s="796"/>
      <c r="E11" s="44">
        <v>0</v>
      </c>
      <c r="F11" s="27">
        <v>1</v>
      </c>
      <c r="G11" s="27">
        <f>F11+1</f>
        <v>2</v>
      </c>
      <c r="H11" s="27">
        <f>G11+1</f>
        <v>3</v>
      </c>
      <c r="I11" s="22"/>
      <c r="J11" s="795"/>
    </row>
    <row r="12" spans="1:79" ht="20.100000000000001" customHeight="1" x14ac:dyDescent="0.2">
      <c r="A12" s="28"/>
      <c r="B12" s="47"/>
      <c r="C12" s="47"/>
      <c r="D12" s="48"/>
      <c r="E12" s="44"/>
      <c r="F12" s="29"/>
      <c r="G12" s="754"/>
      <c r="H12" s="52"/>
      <c r="I12" s="22"/>
      <c r="J12" s="77"/>
    </row>
    <row r="13" spans="1:79" ht="20.100000000000001" customHeight="1" x14ac:dyDescent="0.2">
      <c r="A13" s="167">
        <f ca="1">INDIRECT("Datos!B"&amp;MATCH("RUBRO ITEM",Datos!B:B,0)+ROW()-MATCH("RUBRO ITEM",A:A,0)-1)</f>
        <v>1</v>
      </c>
      <c r="B13" s="30" t="str">
        <f t="shared" ref="B13" ca="1" si="0">IFERROR(VLOOKUP(A13,T_Computo_Presupuesto,2,FALSE),"")</f>
        <v>DEPARTAMENTO ALBARDON</v>
      </c>
      <c r="C13" s="31"/>
      <c r="D13" s="15">
        <f t="shared" ref="D13" ca="1" si="1">IFERROR(VLOOKUP(A13,T_Computo_Presupuesto,9,FALSE),0)</f>
        <v>0</v>
      </c>
      <c r="E13" s="33"/>
      <c r="F13" s="752"/>
      <c r="G13" s="752"/>
      <c r="H13" s="752"/>
      <c r="J13" s="24">
        <f t="shared" ref="J13:J23" si="2">SUM(F13:H13)</f>
        <v>0</v>
      </c>
    </row>
    <row r="14" spans="1:79" ht="20.100000000000001" customHeight="1" x14ac:dyDescent="0.2">
      <c r="A14" s="167" t="str">
        <f ca="1">INDIRECT("Datos!B"&amp;MATCH("RUBRO ITEM",Datos!B:B,0)+ROW()-MATCH("RUBRO ITEM",A:A,0)-1)</f>
        <v>1.1</v>
      </c>
      <c r="B14" s="30" t="str">
        <f t="shared" ref="B14:B16" ca="1" si="3">IFERROR(VLOOKUP(A14,T_Computo_Presupuesto,2,FALSE),"")</f>
        <v>Topador D8 potencia minima 270hp</v>
      </c>
      <c r="C14" s="31"/>
      <c r="D14" s="15">
        <f t="shared" ref="D14:D16" ca="1" si="4">IFERROR(VLOOKUP(A14,T_Computo_Presupuesto,9,FALSE),0)</f>
        <v>0</v>
      </c>
      <c r="E14" s="33"/>
      <c r="F14" s="752"/>
      <c r="G14" s="752"/>
      <c r="H14" s="752"/>
      <c r="J14" s="24">
        <f t="shared" si="2"/>
        <v>0</v>
      </c>
    </row>
    <row r="15" spans="1:79" ht="20.100000000000001" customHeight="1" x14ac:dyDescent="0.2">
      <c r="A15" s="167">
        <f ca="1">INDIRECT("Datos!B"&amp;MATCH("RUBRO ITEM",Datos!B:B,0)+ROW()-MATCH("RUBRO ITEM",A:A,0)-1)</f>
        <v>2</v>
      </c>
      <c r="B15" s="30" t="str">
        <f t="shared" ca="1" si="3"/>
        <v>DEPARTAMENTO ULUM-ZONDA</v>
      </c>
      <c r="C15" s="31"/>
      <c r="D15" s="15">
        <f t="shared" ca="1" si="4"/>
        <v>0</v>
      </c>
      <c r="E15" s="33"/>
      <c r="F15" s="752"/>
      <c r="G15" s="752"/>
      <c r="H15" s="752"/>
      <c r="J15" s="24">
        <f t="shared" si="2"/>
        <v>0</v>
      </c>
    </row>
    <row r="16" spans="1:79" ht="20.100000000000001" customHeight="1" x14ac:dyDescent="0.2">
      <c r="A16" s="167">
        <f ca="1">INDIRECT("Datos!B"&amp;MATCH("RUBRO ITEM",Datos!B:B,0)+ROW()-MATCH("RUBRO ITEM",A:A,0)-1)</f>
        <v>2.1</v>
      </c>
      <c r="B16" s="30" t="str">
        <f t="shared" ca="1" si="3"/>
        <v>Topador D8 potencia minima 270hp</v>
      </c>
      <c r="C16" s="31"/>
      <c r="D16" s="15">
        <f t="shared" ca="1" si="4"/>
        <v>0</v>
      </c>
      <c r="E16" s="33"/>
      <c r="F16" s="752"/>
      <c r="G16" s="752"/>
      <c r="H16" s="752"/>
      <c r="J16" s="24">
        <f t="shared" si="2"/>
        <v>0</v>
      </c>
    </row>
    <row r="17" spans="1:10" ht="20.100000000000001" customHeight="1" x14ac:dyDescent="0.2">
      <c r="A17" s="49" t="s">
        <v>3</v>
      </c>
      <c r="B17" s="47" t="s">
        <v>7</v>
      </c>
      <c r="C17" s="51"/>
      <c r="D17" s="46">
        <f ca="1">SUM(D13:D16)</f>
        <v>0</v>
      </c>
      <c r="E17" s="45"/>
      <c r="F17" s="34"/>
      <c r="G17" s="34"/>
      <c r="H17" s="34"/>
      <c r="J17" s="24">
        <f t="shared" si="2"/>
        <v>0</v>
      </c>
    </row>
    <row r="18" spans="1:10" ht="20.100000000000001" customHeight="1" x14ac:dyDescent="0.2">
      <c r="A18" s="35"/>
      <c r="B18" s="35"/>
      <c r="C18" s="35"/>
      <c r="D18" s="35"/>
      <c r="E18" s="36"/>
      <c r="F18" s="35"/>
      <c r="G18" s="35"/>
      <c r="H18" s="35"/>
      <c r="J18" s="24">
        <f t="shared" si="2"/>
        <v>0</v>
      </c>
    </row>
    <row r="19" spans="1:10" ht="20.100000000000001" customHeight="1" x14ac:dyDescent="0.2">
      <c r="A19" s="35"/>
      <c r="B19" s="35"/>
      <c r="C19" s="35"/>
      <c r="D19" s="37" t="s">
        <v>18</v>
      </c>
      <c r="E19" s="36">
        <v>0</v>
      </c>
      <c r="F19" s="38" t="e">
        <f ca="1">SUMPRODUCT($D$14,F14)</f>
        <v>#VALUE!</v>
      </c>
      <c r="G19" s="38" t="e">
        <f ca="1">SUMPRODUCT($D$14,G14)</f>
        <v>#VALUE!</v>
      </c>
      <c r="H19" s="38" t="e">
        <f ca="1">SUMPRODUCT($D$14,H14)</f>
        <v>#VALUE!</v>
      </c>
      <c r="I19" s="25"/>
      <c r="J19" s="24" t="e">
        <f t="shared" ca="1" si="2"/>
        <v>#VALUE!</v>
      </c>
    </row>
    <row r="20" spans="1:10" ht="20.100000000000001" customHeight="1" x14ac:dyDescent="0.2">
      <c r="A20" s="35"/>
      <c r="B20" s="35"/>
      <c r="C20" s="35"/>
      <c r="D20" s="37" t="s">
        <v>19</v>
      </c>
      <c r="E20" s="36">
        <v>0</v>
      </c>
      <c r="F20" s="38" t="e">
        <f ca="1">E20+F19</f>
        <v>#VALUE!</v>
      </c>
      <c r="G20" s="38" t="e">
        <f t="shared" ref="G20:H20" ca="1" si="5">F20+G19</f>
        <v>#VALUE!</v>
      </c>
      <c r="H20" s="38" t="e">
        <f t="shared" ca="1" si="5"/>
        <v>#VALUE!</v>
      </c>
      <c r="I20" s="25"/>
      <c r="J20" s="24" t="e">
        <f t="shared" ca="1" si="2"/>
        <v>#VALUE!</v>
      </c>
    </row>
    <row r="21" spans="1:10" ht="20.100000000000001" customHeight="1" x14ac:dyDescent="0.2">
      <c r="A21" s="35"/>
      <c r="B21" s="35"/>
      <c r="C21" s="35"/>
      <c r="D21" s="39"/>
      <c r="E21" s="40" t="s">
        <v>941</v>
      </c>
      <c r="F21" s="35"/>
      <c r="G21" s="35"/>
      <c r="H21" s="35"/>
      <c r="J21" s="24">
        <f t="shared" si="2"/>
        <v>0</v>
      </c>
    </row>
    <row r="22" spans="1:10" ht="20.100000000000001" customHeight="1" x14ac:dyDescent="0.2">
      <c r="A22" s="35"/>
      <c r="B22" s="35"/>
      <c r="C22" s="35"/>
      <c r="D22" s="37" t="s">
        <v>20</v>
      </c>
      <c r="E22" s="41">
        <f ca="1">Anticipo_Financiero*Monto_Oferta</f>
        <v>0</v>
      </c>
      <c r="F22" s="41" t="e">
        <f t="shared" ref="F22:H22" ca="1" si="6">Monto_Oferta*F19</f>
        <v>#VALUE!</v>
      </c>
      <c r="G22" s="41"/>
      <c r="H22" s="41" t="e">
        <f t="shared" ca="1" si="6"/>
        <v>#VALUE!</v>
      </c>
      <c r="I22" s="11"/>
      <c r="J22" s="24" t="e">
        <f t="shared" ca="1" si="2"/>
        <v>#VALUE!</v>
      </c>
    </row>
    <row r="23" spans="1:10" ht="20.100000000000001" customHeight="1" x14ac:dyDescent="0.2">
      <c r="A23" s="35"/>
      <c r="B23" s="35"/>
      <c r="C23" s="35"/>
      <c r="D23" s="37" t="s">
        <v>891</v>
      </c>
      <c r="E23" s="41">
        <f ca="1">E22</f>
        <v>0</v>
      </c>
      <c r="F23" s="41" t="e">
        <f t="shared" ref="F23" ca="1" si="7">E23+F22*(1-Anticipo_Financiero)</f>
        <v>#VALUE!</v>
      </c>
      <c r="G23" s="41"/>
      <c r="H23" s="41" t="e">
        <f t="shared" ref="H23" ca="1" si="8">F23+H22*(1-Anticipo_Financiero)</f>
        <v>#VALUE!</v>
      </c>
      <c r="I23" s="11"/>
      <c r="J23" s="24" t="e">
        <f t="shared" ca="1" si="2"/>
        <v>#VALUE!</v>
      </c>
    </row>
    <row r="24" spans="1:10" ht="20.100000000000001" customHeight="1" x14ac:dyDescent="0.2">
      <c r="E24" s="26">
        <v>0</v>
      </c>
    </row>
    <row r="25" spans="1:10" ht="20.100000000000001" customHeight="1" x14ac:dyDescent="0.2">
      <c r="E25" s="26">
        <v>0</v>
      </c>
    </row>
  </sheetData>
  <mergeCells count="6">
    <mergeCell ref="A8:D8"/>
    <mergeCell ref="F10:H10"/>
    <mergeCell ref="J10:J11"/>
    <mergeCell ref="A10:A11"/>
    <mergeCell ref="B10:C11"/>
    <mergeCell ref="D10:D11"/>
  </mergeCells>
  <conditionalFormatting sqref="A17 B13:B16">
    <cfRule type="expression" dxfId="92" priority="156" stopIfTrue="1">
      <formula>#REF!&gt;0</formula>
    </cfRule>
    <cfRule type="expression" dxfId="91" priority="157" stopIfTrue="1">
      <formula>#REF!&gt;0</formula>
    </cfRule>
    <cfRule type="expression" dxfId="90" priority="158" stopIfTrue="1">
      <formula>#REF!&gt;0</formula>
    </cfRule>
  </conditionalFormatting>
  <conditionalFormatting sqref="C13:C16">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A13:A16">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D7" sqref="D7:D10"/>
    </sheetView>
  </sheetViews>
  <sheetFormatPr baseColWidth="10" defaultRowHeight="19.5" customHeight="1" x14ac:dyDescent="0.2"/>
  <cols>
    <col min="2" max="2" width="43.28515625" customWidth="1"/>
    <col min="3" max="3" width="52.28515625" bestFit="1" customWidth="1"/>
  </cols>
  <sheetData>
    <row r="1" spans="1:4" ht="19.5" customHeight="1" x14ac:dyDescent="0.2">
      <c r="A1" s="675" t="s">
        <v>10</v>
      </c>
      <c r="B1" s="675"/>
      <c r="C1" s="675" t="str">
        <f>+Contratista</f>
        <v>EMPRESA PRUEBA</v>
      </c>
      <c r="D1" s="675"/>
    </row>
    <row r="2" spans="1:4" ht="19.5" customHeight="1" x14ac:dyDescent="0.2">
      <c r="A2" s="675" t="s">
        <v>41</v>
      </c>
      <c r="B2" s="675"/>
      <c r="C2" s="676">
        <f ca="1">+CyP!C11</f>
        <v>0</v>
      </c>
      <c r="D2" s="675"/>
    </row>
    <row r="3" spans="1:4" ht="19.5" customHeight="1" x14ac:dyDescent="0.2">
      <c r="A3" s="675"/>
      <c r="B3" s="675"/>
      <c r="C3" s="675"/>
      <c r="D3" s="675"/>
    </row>
    <row r="4" spans="1:4" ht="19.5" customHeight="1" x14ac:dyDescent="0.2">
      <c r="A4" s="797" t="s">
        <v>2076</v>
      </c>
      <c r="B4" s="797"/>
      <c r="C4" s="797"/>
      <c r="D4" s="797"/>
    </row>
    <row r="5" spans="1:4" ht="19.5" customHeight="1" thickBot="1" x14ac:dyDescent="0.25">
      <c r="A5" s="675"/>
      <c r="B5" s="675"/>
      <c r="C5" s="675"/>
      <c r="D5" s="675"/>
    </row>
    <row r="6" spans="1:4" ht="19.5" customHeight="1" thickBot="1" x14ac:dyDescent="0.25">
      <c r="A6" s="677" t="s">
        <v>2077</v>
      </c>
      <c r="B6" s="678" t="s">
        <v>900</v>
      </c>
      <c r="C6" s="678" t="s">
        <v>901</v>
      </c>
      <c r="D6" s="679" t="s">
        <v>2078</v>
      </c>
    </row>
    <row r="7" spans="1:4" ht="19.5" customHeight="1" x14ac:dyDescent="0.2">
      <c r="A7" s="680">
        <v>1</v>
      </c>
      <c r="B7" s="753" t="s">
        <v>2120</v>
      </c>
      <c r="C7" s="753" t="s">
        <v>2121</v>
      </c>
      <c r="D7" s="681">
        <v>0.15</v>
      </c>
    </row>
    <row r="8" spans="1:4" ht="19.5" customHeight="1" x14ac:dyDescent="0.2">
      <c r="A8" s="682">
        <v>2</v>
      </c>
      <c r="B8" s="753" t="s">
        <v>2124</v>
      </c>
      <c r="C8" s="753" t="s">
        <v>2122</v>
      </c>
      <c r="D8" s="683">
        <v>0.45</v>
      </c>
    </row>
    <row r="9" spans="1:4" ht="19.5" customHeight="1" x14ac:dyDescent="0.2">
      <c r="A9" s="682">
        <v>3</v>
      </c>
      <c r="B9" s="753" t="s">
        <v>2125</v>
      </c>
      <c r="C9" s="753" t="s">
        <v>2123</v>
      </c>
      <c r="D9" s="683">
        <v>0.17</v>
      </c>
    </row>
    <row r="10" spans="1:4" ht="19.5" customHeight="1" x14ac:dyDescent="0.2">
      <c r="A10" s="682">
        <v>4</v>
      </c>
      <c r="B10" s="753" t="s">
        <v>2126</v>
      </c>
      <c r="C10" s="753" t="s">
        <v>937</v>
      </c>
      <c r="D10" s="683">
        <v>0.23</v>
      </c>
    </row>
    <row r="11" spans="1:4" ht="19.5" customHeight="1" x14ac:dyDescent="0.2">
      <c r="A11"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topLeftCell="A4" zoomScaleNormal="100" zoomScaleSheetLayoutView="100" workbookViewId="0">
      <selection activeCell="A13" sqref="A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02" customWidth="1"/>
    <col min="7" max="7" width="12.140625" style="703" customWidth="1"/>
    <col min="8" max="8" width="13.140625" style="703" customWidth="1"/>
    <col min="9" max="9" width="10.7109375" style="10" customWidth="1"/>
    <col min="10" max="29" width="10.7109375" style="85" customWidth="1"/>
    <col min="30" max="78" width="11.42578125" style="85"/>
    <col min="79" max="16384" width="11.42578125" style="9"/>
  </cols>
  <sheetData>
    <row r="1" spans="1:78" s="5" customFormat="1" ht="20.100000000000001" customHeight="1" x14ac:dyDescent="0.2">
      <c r="A1" s="3" t="s">
        <v>8</v>
      </c>
      <c r="B1" s="3"/>
      <c r="C1" s="3" t="str">
        <f>Comitente</f>
        <v>DEPARTAMENTO DE HIDRAULICA</v>
      </c>
      <c r="D1" s="4"/>
      <c r="F1" s="684"/>
      <c r="G1" s="684"/>
      <c r="H1" s="684"/>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row>
    <row r="2" spans="1:78" s="6" customFormat="1" ht="20.100000000000001" customHeight="1" x14ac:dyDescent="0.2">
      <c r="A2" s="13" t="s">
        <v>9</v>
      </c>
      <c r="B2" s="13"/>
      <c r="C2" s="13" t="str">
        <f>Obra</f>
        <v xml:space="preserve">CONTRATACION DE 800 HS. TOPADORA   Y/O CARGADORA
PARA MEJORA DE OBRAS DE DEFENSAS DE MATERIAL SUELTO DE BAJADAS DE CRECIENTES, ENCAUZAMIENTOS
-DEPARTAMENTOS ALBARDON - ULLUM - ZONDA -
</v>
      </c>
      <c r="F2" s="685"/>
      <c r="G2" s="685"/>
      <c r="H2" s="685"/>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3" spans="1:78" s="6" customFormat="1" ht="20.100000000000001" customHeight="1" x14ac:dyDescent="0.2">
      <c r="A3" s="13" t="s">
        <v>13</v>
      </c>
      <c r="B3" s="13"/>
      <c r="C3" s="13" t="str">
        <f>Ubicación</f>
        <v>DEPARTAMENTO ALBARDON, ULLUM Y ZONDA</v>
      </c>
      <c r="F3" s="685"/>
      <c r="G3" s="685"/>
      <c r="H3" s="685"/>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row>
    <row r="4" spans="1:78" s="6" customFormat="1" ht="20.100000000000001" customHeight="1" x14ac:dyDescent="0.2">
      <c r="A4" s="13" t="s">
        <v>12</v>
      </c>
      <c r="B4" s="14"/>
      <c r="C4" s="62" t="str">
        <f>Licitación_N°</f>
        <v>02/2021</v>
      </c>
      <c r="F4" s="685"/>
      <c r="G4" s="685"/>
      <c r="H4" s="685"/>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row>
    <row r="5" spans="1:78" s="6" customFormat="1" ht="20.100000000000001" customHeight="1" thickBot="1" x14ac:dyDescent="0.25">
      <c r="A5" s="13" t="s">
        <v>14</v>
      </c>
      <c r="B5" s="14"/>
      <c r="C5" s="63">
        <f>Plazo_Obra</f>
        <v>120</v>
      </c>
      <c r="F5" s="685"/>
      <c r="G5" s="685"/>
      <c r="H5" s="685"/>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row>
    <row r="6" spans="1:78" s="6" customFormat="1" ht="20.100000000000001" customHeight="1" thickBot="1" x14ac:dyDescent="0.25">
      <c r="A6" s="13" t="s">
        <v>10</v>
      </c>
      <c r="B6" s="13"/>
      <c r="C6" s="13">
        <f>Contratista</f>
        <v>0</v>
      </c>
      <c r="F6" s="686" t="s">
        <v>2079</v>
      </c>
      <c r="G6" s="687">
        <f>+'MED OBRA'!J6</f>
        <v>43831</v>
      </c>
      <c r="H6" s="688">
        <f>+'MED OBRA'!K6</f>
        <v>0</v>
      </c>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row>
    <row r="7" spans="1:78" s="2" customFormat="1" ht="20.100000000000001" customHeight="1" x14ac:dyDescent="0.2">
      <c r="F7" s="173"/>
      <c r="G7" s="173"/>
      <c r="H7" s="173"/>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s="2" customFormat="1" ht="20.100000000000001" customHeight="1" x14ac:dyDescent="0.2">
      <c r="A8" s="791" t="s">
        <v>2080</v>
      </c>
      <c r="B8" s="792"/>
      <c r="C8" s="792"/>
      <c r="D8" s="793"/>
      <c r="E8" s="8"/>
      <c r="F8" s="689"/>
      <c r="G8" s="689"/>
      <c r="H8" s="689"/>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10" spans="1:78" ht="12.75" x14ac:dyDescent="0.2">
      <c r="A10" s="765" t="s">
        <v>894</v>
      </c>
      <c r="B10" s="794" t="s">
        <v>0</v>
      </c>
      <c r="C10" s="794"/>
      <c r="D10" s="796" t="s">
        <v>11</v>
      </c>
      <c r="E10" s="44"/>
      <c r="F10" s="798">
        <f>+'MED OBRA'!I10</f>
        <v>1</v>
      </c>
      <c r="G10" s="799"/>
      <c r="H10" s="800"/>
      <c r="I10" s="22"/>
      <c r="J10" s="86"/>
    </row>
    <row r="11" spans="1:78" ht="25.5" x14ac:dyDescent="0.2">
      <c r="A11" s="765"/>
      <c r="B11" s="794"/>
      <c r="C11" s="794"/>
      <c r="D11" s="796"/>
      <c r="E11" s="44"/>
      <c r="F11" s="674" t="s">
        <v>2081</v>
      </c>
      <c r="G11" s="674" t="s">
        <v>2082</v>
      </c>
      <c r="H11" s="674" t="s">
        <v>2083</v>
      </c>
      <c r="I11" s="22"/>
    </row>
    <row r="12" spans="1:78" ht="20.100000000000001" customHeight="1" x14ac:dyDescent="0.2">
      <c r="A12" s="28"/>
      <c r="B12" s="47"/>
      <c r="C12" s="47"/>
      <c r="D12" s="48"/>
      <c r="E12" s="44"/>
      <c r="F12" s="690"/>
      <c r="G12" s="690"/>
      <c r="H12" s="690"/>
      <c r="I12" s="691"/>
    </row>
    <row r="13" spans="1:78" ht="20.100000000000001" customHeight="1" x14ac:dyDescent="0.2">
      <c r="A13" s="692">
        <f>[4]CyP!A18</f>
        <v>1</v>
      </c>
      <c r="B13" s="801" t="str">
        <f t="shared" ref="B13:B19" si="0">IFERROR(VLOOKUP(A13,Tabla_CyP,2,FALSE),"")</f>
        <v>LIMPIEZA DE TERRENO</v>
      </c>
      <c r="C13" s="802"/>
      <c r="D13" s="693">
        <f t="shared" ref="D13:D19" si="1">IFERROR(VLOOKUP(A13,Tabla_CyP,9,FALSE),0)</f>
        <v>3.5714285714285712E-2</v>
      </c>
      <c r="E13" s="33"/>
      <c r="F13" s="694">
        <f>+VLOOKUP($A13,'MED OBRA'!$A$13:$K$36,9,FALSE)</f>
        <v>0</v>
      </c>
      <c r="G13" s="694">
        <f>+VLOOKUP($A13,'MED OBRA'!$A$13:$K$36,10,FALSE)</f>
        <v>0</v>
      </c>
      <c r="H13" s="694">
        <f>+VLOOKUP($A13,'MED OBRA'!$A$13:$K$36,11,FALSE)</f>
        <v>0</v>
      </c>
      <c r="I13" s="23"/>
    </row>
    <row r="14" spans="1:78" ht="20.100000000000001" customHeight="1" x14ac:dyDescent="0.2">
      <c r="A14" s="692">
        <f>[4]CyP!A19</f>
        <v>2</v>
      </c>
      <c r="B14" s="801" t="str">
        <f t="shared" si="0"/>
        <v>HORMIGONES</v>
      </c>
      <c r="C14" s="802"/>
      <c r="D14" s="693">
        <f t="shared" si="1"/>
        <v>7.1428571428571425E-2</v>
      </c>
      <c r="E14" s="695"/>
      <c r="F14" s="694">
        <f>+VLOOKUP(A14,'MED OBRA'!$A$13:$K$36,9,FALSE)</f>
        <v>0</v>
      </c>
      <c r="G14" s="694">
        <f>+VLOOKUP($A14,'MED OBRA'!$A$13:$K$36,10,FALSE)</f>
        <v>0</v>
      </c>
      <c r="H14" s="694">
        <f>+VLOOKUP($A14,'MED OBRA'!$A$13:$K$36,11,FALSE)</f>
        <v>0</v>
      </c>
      <c r="I14" s="696"/>
    </row>
    <row r="15" spans="1:78" ht="20.100000000000001" customHeight="1" x14ac:dyDescent="0.2">
      <c r="A15" s="692">
        <f>[4]CyP!A20</f>
        <v>3</v>
      </c>
      <c r="B15" s="801" t="str">
        <f t="shared" si="0"/>
        <v>MAMPOSTERIA</v>
      </c>
      <c r="C15" s="802"/>
      <c r="D15" s="693">
        <f t="shared" si="1"/>
        <v>0.10714285714285714</v>
      </c>
      <c r="E15" s="695"/>
      <c r="F15" s="694">
        <f>+VLOOKUP(A15,'MED OBRA'!$A$13:$K$36,9,FALSE)</f>
        <v>0</v>
      </c>
      <c r="G15" s="694">
        <f>+VLOOKUP($A15,'MED OBRA'!$A$13:$K$36,10,FALSE)</f>
        <v>0</v>
      </c>
      <c r="H15" s="694">
        <f>+VLOOKUP($A15,'MED OBRA'!$A$13:$K$36,11,FALSE)</f>
        <v>0</v>
      </c>
      <c r="I15" s="696"/>
    </row>
    <row r="16" spans="1:78" ht="20.100000000000001" customHeight="1" x14ac:dyDescent="0.2">
      <c r="A16" s="692">
        <f>[4]CyP!A21</f>
        <v>4</v>
      </c>
      <c r="B16" s="801" t="str">
        <f t="shared" si="0"/>
        <v>REVOQUES</v>
      </c>
      <c r="C16" s="802"/>
      <c r="D16" s="693">
        <f t="shared" si="1"/>
        <v>0.14285714285714285</v>
      </c>
      <c r="E16" s="695"/>
      <c r="F16" s="694">
        <f>+VLOOKUP(A16,'MED OBRA'!$A$13:$K$36,9,FALSE)</f>
        <v>0</v>
      </c>
      <c r="G16" s="694">
        <f>+VLOOKUP($A16,'MED OBRA'!$A$13:$K$36,10,FALSE)</f>
        <v>0</v>
      </c>
      <c r="H16" s="694">
        <f>+VLOOKUP($A16,'MED OBRA'!$A$13:$K$36,11,FALSE)</f>
        <v>0</v>
      </c>
      <c r="I16" s="696"/>
    </row>
    <row r="17" spans="1:78" ht="20.100000000000001" customHeight="1" x14ac:dyDescent="0.2">
      <c r="A17" s="692">
        <f>[4]CyP!A22</f>
        <v>5</v>
      </c>
      <c r="B17" s="801" t="str">
        <f t="shared" si="0"/>
        <v>CARPINTERIA</v>
      </c>
      <c r="C17" s="802"/>
      <c r="D17" s="693">
        <f t="shared" si="1"/>
        <v>0.17857142857142858</v>
      </c>
      <c r="E17" s="695"/>
      <c r="F17" s="694">
        <f>+VLOOKUP(A17,'MED OBRA'!$A$13:$K$36,9,FALSE)</f>
        <v>0</v>
      </c>
      <c r="G17" s="694">
        <f>+VLOOKUP($A17,'MED OBRA'!$A$13:$K$36,10,FALSE)</f>
        <v>0</v>
      </c>
      <c r="H17" s="694">
        <f>+VLOOKUP($A17,'MED OBRA'!$A$13:$K$36,11,FALSE)</f>
        <v>0</v>
      </c>
      <c r="I17" s="696"/>
    </row>
    <row r="18" spans="1:78" ht="20.100000000000001" customHeight="1" x14ac:dyDescent="0.2">
      <c r="A18" s="692">
        <f>[4]CyP!A23</f>
        <v>6</v>
      </c>
      <c r="B18" s="801" t="str">
        <f t="shared" si="0"/>
        <v>INSTALACION SANITARIA</v>
      </c>
      <c r="C18" s="802"/>
      <c r="D18" s="693">
        <f t="shared" si="1"/>
        <v>0.21428571428571427</v>
      </c>
      <c r="E18" s="695"/>
      <c r="F18" s="694">
        <f>+VLOOKUP(A18,'MED OBRA'!$A$13:$K$36,9,FALSE)</f>
        <v>0</v>
      </c>
      <c r="G18" s="694">
        <f>+VLOOKUP($A18,'MED OBRA'!$A$13:$K$36,10,FALSE)</f>
        <v>0</v>
      </c>
      <c r="H18" s="694">
        <f>+VLOOKUP($A18,'MED OBRA'!$A$13:$K$36,11,FALSE)</f>
        <v>0</v>
      </c>
      <c r="I18" s="696"/>
    </row>
    <row r="19" spans="1:78" ht="20.100000000000001" customHeight="1" x14ac:dyDescent="0.2">
      <c r="A19" s="692">
        <f>[4]CyP!A24</f>
        <v>7</v>
      </c>
      <c r="B19" s="801" t="str">
        <f t="shared" si="0"/>
        <v>INTALACION GAS</v>
      </c>
      <c r="C19" s="802"/>
      <c r="D19" s="693">
        <f t="shared" si="1"/>
        <v>0.25</v>
      </c>
      <c r="E19" s="695"/>
      <c r="F19" s="694">
        <f>+VLOOKUP(A19,'MED OBRA'!$A$13:$K$36,9,FALSE)</f>
        <v>0</v>
      </c>
      <c r="G19" s="694">
        <f>+VLOOKUP($A19,'MED OBRA'!$A$13:$K$36,10,FALSE)</f>
        <v>0</v>
      </c>
      <c r="H19" s="694">
        <f>+VLOOKUP($A19,'MED OBRA'!$A$13:$K$36,11,FALSE)</f>
        <v>0</v>
      </c>
      <c r="I19" s="696"/>
    </row>
    <row r="20" spans="1:78" s="10" customFormat="1" ht="20.100000000000001" customHeight="1" x14ac:dyDescent="0.2">
      <c r="A20" s="49" t="s">
        <v>3</v>
      </c>
      <c r="B20" s="32" t="s">
        <v>3</v>
      </c>
      <c r="C20" s="32"/>
      <c r="D20" s="50" t="s">
        <v>4</v>
      </c>
      <c r="E20" s="33"/>
      <c r="F20" s="697"/>
      <c r="G20" s="697"/>
      <c r="H20" s="697"/>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row>
    <row r="21" spans="1:78" ht="20.100000000000001" customHeight="1" x14ac:dyDescent="0.2">
      <c r="A21" s="49" t="s">
        <v>3</v>
      </c>
      <c r="B21" s="47" t="s">
        <v>7</v>
      </c>
      <c r="C21" s="51"/>
      <c r="D21" s="698">
        <f>SUM(D13:D20)</f>
        <v>1</v>
      </c>
      <c r="E21" s="699"/>
      <c r="F21" s="700">
        <f>+SUMPRODUCT(F13:F19,$D$13:$D$19)</f>
        <v>0</v>
      </c>
      <c r="G21" s="700">
        <f>+SUMPRODUCT(G13:G19,$D$13:$D$19)</f>
        <v>0</v>
      </c>
      <c r="H21" s="700">
        <f>+SUMPRODUCT(H13:H19,$D$13:$D$19)</f>
        <v>0</v>
      </c>
    </row>
    <row r="22" spans="1:78" ht="20.100000000000001" customHeight="1" x14ac:dyDescent="0.2">
      <c r="A22" s="35" t="s">
        <v>940</v>
      </c>
      <c r="B22" s="35"/>
      <c r="C22" s="35"/>
      <c r="D22" s="35"/>
      <c r="E22" s="36"/>
      <c r="F22" s="701"/>
      <c r="G22" s="39"/>
      <c r="H22" s="39"/>
    </row>
    <row r="23" spans="1:78" ht="20.100000000000001" customHeight="1" x14ac:dyDescent="0.2">
      <c r="E23" s="26"/>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B14:C14"/>
    <mergeCell ref="B19:C19"/>
    <mergeCell ref="B18:C18"/>
    <mergeCell ref="B17:C17"/>
    <mergeCell ref="B16:C16"/>
    <mergeCell ref="B15:C15"/>
    <mergeCell ref="F10:H10"/>
    <mergeCell ref="B13:C13"/>
    <mergeCell ref="A8:D8"/>
    <mergeCell ref="A10:A11"/>
    <mergeCell ref="B10:C11"/>
    <mergeCell ref="D10:D11"/>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4" zoomScaleNormal="100" zoomScaleSheetLayoutView="100" workbookViewId="0">
      <selection activeCell="B13" sqref="B13:C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43" bestFit="1" customWidth="1"/>
    <col min="9" max="9" width="14" style="10" customWidth="1"/>
    <col min="10" max="10" width="12.42578125" style="9" customWidth="1"/>
    <col min="11" max="11" width="13.28515625" style="9" customWidth="1"/>
    <col min="12" max="12" width="10.7109375" style="10" customWidth="1"/>
    <col min="13" max="32" width="10.7109375" style="85" customWidth="1"/>
    <col min="33" max="81" width="11.42578125" style="85"/>
    <col min="82" max="16384" width="11.42578125" style="9"/>
  </cols>
  <sheetData>
    <row r="1" spans="1:81" s="5" customFormat="1" ht="20.100000000000001" customHeight="1" x14ac:dyDescent="0.2">
      <c r="A1" s="3" t="s">
        <v>8</v>
      </c>
      <c r="B1" s="3"/>
      <c r="C1" s="3" t="str">
        <f>Comitente</f>
        <v>DEPARTAMENTO DE HIDRAULICA</v>
      </c>
      <c r="D1" s="4"/>
      <c r="H1" s="704"/>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row>
    <row r="2" spans="1:81" s="6" customFormat="1" ht="20.100000000000001" customHeight="1" x14ac:dyDescent="0.2">
      <c r="A2" s="13" t="s">
        <v>9</v>
      </c>
      <c r="B2" s="13"/>
      <c r="C2" s="13" t="str">
        <f>Obra</f>
        <v xml:space="preserve">CONTRATACION DE 800 HS. TOPADORA   Y/O CARGADORA
PARA MEJORA DE OBRAS DE DEFENSAS DE MATERIAL SUELTO DE BAJADAS DE CRECIENTES, ENCAUZAMIENTOS
-DEPARTAMENTOS ALBARDON - ULLUM - ZONDA -
</v>
      </c>
      <c r="H2" s="705"/>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row>
    <row r="3" spans="1:81" s="6" customFormat="1" ht="20.100000000000001" customHeight="1" x14ac:dyDescent="0.2">
      <c r="A3" s="13" t="s">
        <v>13</v>
      </c>
      <c r="B3" s="13"/>
      <c r="C3" s="13" t="str">
        <f>Ubicación</f>
        <v>DEPARTAMENTO ALBARDON, ULLUM Y ZONDA</v>
      </c>
      <c r="H3" s="705"/>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row>
    <row r="4" spans="1:81" s="6" customFormat="1" ht="20.100000000000001" customHeight="1" x14ac:dyDescent="0.2">
      <c r="A4" s="13" t="s">
        <v>12</v>
      </c>
      <c r="B4" s="14"/>
      <c r="C4" s="62" t="str">
        <f>Licitación_N°</f>
        <v>02/2021</v>
      </c>
      <c r="H4" s="705"/>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row>
    <row r="5" spans="1:81" s="6" customFormat="1" ht="20.100000000000001" customHeight="1" thickBot="1" x14ac:dyDescent="0.25">
      <c r="A5" s="13" t="s">
        <v>14</v>
      </c>
      <c r="B5" s="14"/>
      <c r="C5" s="63">
        <f>Plazo_Obra</f>
        <v>120</v>
      </c>
      <c r="H5" s="705"/>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row>
    <row r="6" spans="1:81" s="6" customFormat="1" ht="20.100000000000001" customHeight="1" thickBot="1" x14ac:dyDescent="0.25">
      <c r="A6" s="13" t="s">
        <v>10</v>
      </c>
      <c r="B6" s="13"/>
      <c r="C6" s="13">
        <f>Contratista</f>
        <v>0</v>
      </c>
      <c r="H6" s="705"/>
      <c r="I6" s="706" t="s">
        <v>2079</v>
      </c>
      <c r="J6" s="707">
        <v>43831</v>
      </c>
      <c r="K6" s="708">
        <f>+J38</f>
        <v>0</v>
      </c>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row>
    <row r="7" spans="1:81" s="2" customFormat="1" ht="20.100000000000001" customHeight="1" x14ac:dyDescent="0.2">
      <c r="H7" s="709"/>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row>
    <row r="8" spans="1:81" s="2" customFormat="1" ht="20.100000000000001" customHeight="1" x14ac:dyDescent="0.2">
      <c r="A8" s="791" t="s">
        <v>2080</v>
      </c>
      <c r="B8" s="792"/>
      <c r="C8" s="792"/>
      <c r="D8" s="793"/>
      <c r="E8" s="8"/>
      <c r="F8" s="8"/>
      <c r="G8" s="8"/>
      <c r="H8" s="710"/>
      <c r="I8" s="8"/>
      <c r="J8" s="8"/>
      <c r="K8" s="8"/>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row>
    <row r="10" spans="1:81" ht="12.75" x14ac:dyDescent="0.2">
      <c r="A10" s="765" t="s">
        <v>894</v>
      </c>
      <c r="B10" s="794" t="s">
        <v>0</v>
      </c>
      <c r="C10" s="794"/>
      <c r="D10" s="796" t="s">
        <v>11</v>
      </c>
      <c r="E10" s="44"/>
      <c r="F10" s="796" t="s">
        <v>2084</v>
      </c>
      <c r="G10" s="796" t="s">
        <v>2085</v>
      </c>
      <c r="H10" s="805" t="s">
        <v>2086</v>
      </c>
      <c r="I10" s="806">
        <v>1</v>
      </c>
      <c r="J10" s="807"/>
      <c r="K10" s="808"/>
      <c r="L10" s="21"/>
    </row>
    <row r="11" spans="1:81" ht="25.5" x14ac:dyDescent="0.2">
      <c r="A11" s="765"/>
      <c r="B11" s="794"/>
      <c r="C11" s="794"/>
      <c r="D11" s="796"/>
      <c r="E11" s="44"/>
      <c r="F11" s="796"/>
      <c r="G11" s="796"/>
      <c r="H11" s="805"/>
      <c r="I11" s="674" t="s">
        <v>2081</v>
      </c>
      <c r="J11" s="674" t="s">
        <v>2082</v>
      </c>
      <c r="K11" s="674" t="s">
        <v>2083</v>
      </c>
      <c r="L11" s="22"/>
    </row>
    <row r="12" spans="1:81" ht="20.100000000000001" customHeight="1" thickBot="1" x14ac:dyDescent="0.25">
      <c r="A12" s="711"/>
      <c r="B12" s="712"/>
      <c r="C12" s="712"/>
      <c r="D12" s="713"/>
      <c r="E12" s="44"/>
      <c r="F12" s="44"/>
      <c r="G12" s="44"/>
      <c r="H12" s="714"/>
      <c r="I12" s="690"/>
      <c r="J12" s="690"/>
      <c r="K12" s="690"/>
      <c r="L12" s="691"/>
    </row>
    <row r="13" spans="1:81" ht="20.100000000000001" customHeight="1" thickBot="1" x14ac:dyDescent="0.25">
      <c r="A13" s="715">
        <f>[4]CyP!A18</f>
        <v>1</v>
      </c>
      <c r="B13" s="809" t="str">
        <f t="shared" ref="B13:B28" si="0">IFERROR(VLOOKUP(A13,Tabla_CyP,2,FALSE),"")</f>
        <v>LIMPIEZA DE TERRENO</v>
      </c>
      <c r="C13" s="810"/>
      <c r="D13" s="716">
        <f t="shared" ref="D13:D28" si="1">IFERROR(VLOOKUP(A13,Tabla_CyP,9,FALSE),0)</f>
        <v>3.5714285714285712E-2</v>
      </c>
      <c r="E13" s="717"/>
      <c r="F13" s="718" t="s">
        <v>2087</v>
      </c>
      <c r="G13" s="719">
        <v>1</v>
      </c>
      <c r="H13" s="720"/>
      <c r="I13" s="721"/>
      <c r="J13" s="722">
        <f>+K13-I13</f>
        <v>0</v>
      </c>
      <c r="K13" s="723">
        <f>ROUND(+H13/[4]CyP!E18*G13,4)</f>
        <v>0</v>
      </c>
    </row>
    <row r="14" spans="1:81" ht="20.100000000000001" customHeight="1" x14ac:dyDescent="0.2">
      <c r="A14" s="811">
        <f>[4]CyP!A19</f>
        <v>2</v>
      </c>
      <c r="B14" s="814" t="str">
        <f t="shared" si="0"/>
        <v>HORMIGONES</v>
      </c>
      <c r="C14" s="815"/>
      <c r="D14" s="820">
        <f t="shared" si="1"/>
        <v>7.1428571428571425E-2</v>
      </c>
      <c r="E14" s="724"/>
      <c r="F14" s="725" t="s">
        <v>2088</v>
      </c>
      <c r="G14" s="726">
        <v>0.2</v>
      </c>
      <c r="H14" s="727"/>
      <c r="I14" s="823"/>
      <c r="J14" s="826">
        <f>+K14-I14</f>
        <v>0</v>
      </c>
      <c r="K14" s="803">
        <f>+ROUND(H14/[4]CyP!E19*'MED OBRA'!G14+'MED OBRA'!H15/[4]CyP!E19*'MED OBRA'!G15+'MED OBRA'!H16/[4]CyP!E19*'MED OBRA'!G16,4)</f>
        <v>0</v>
      </c>
      <c r="L14" s="728"/>
    </row>
    <row r="15" spans="1:81" ht="20.100000000000001" customHeight="1" x14ac:dyDescent="0.2">
      <c r="A15" s="812"/>
      <c r="B15" s="816"/>
      <c r="C15" s="817"/>
      <c r="D15" s="821"/>
      <c r="E15" s="695"/>
      <c r="F15" s="729" t="s">
        <v>2089</v>
      </c>
      <c r="G15" s="730">
        <v>0.5</v>
      </c>
      <c r="H15" s="731"/>
      <c r="I15" s="824"/>
      <c r="J15" s="827"/>
      <c r="K15" s="829"/>
      <c r="L15" s="728"/>
    </row>
    <row r="16" spans="1:81" ht="20.100000000000001" customHeight="1" thickBot="1" x14ac:dyDescent="0.25">
      <c r="A16" s="813"/>
      <c r="B16" s="818"/>
      <c r="C16" s="819"/>
      <c r="D16" s="822"/>
      <c r="E16" s="732"/>
      <c r="F16" s="733" t="s">
        <v>2090</v>
      </c>
      <c r="G16" s="734">
        <v>0.3</v>
      </c>
      <c r="H16" s="735"/>
      <c r="I16" s="825"/>
      <c r="J16" s="828"/>
      <c r="K16" s="804"/>
      <c r="L16" s="728"/>
    </row>
    <row r="17" spans="1:12" ht="20.100000000000001" customHeight="1" x14ac:dyDescent="0.2">
      <c r="A17" s="811">
        <f>[4]CyP!A20</f>
        <v>3</v>
      </c>
      <c r="B17" s="814" t="str">
        <f t="shared" si="0"/>
        <v>MAMPOSTERIA</v>
      </c>
      <c r="C17" s="815"/>
      <c r="D17" s="820">
        <f t="shared" si="1"/>
        <v>0.10714285714285714</v>
      </c>
      <c r="E17" s="724"/>
      <c r="F17" s="725" t="s">
        <v>2091</v>
      </c>
      <c r="G17" s="726">
        <v>0.7</v>
      </c>
      <c r="H17" s="727"/>
      <c r="I17" s="823"/>
      <c r="J17" s="826">
        <f>+K17-I17</f>
        <v>0</v>
      </c>
      <c r="K17" s="803">
        <f>+ROUND(H17/[4]CyP!E20*'MED OBRA'!G17+'MED OBRA'!H18/[4]CyP!E20*'MED OBRA'!G18,4)</f>
        <v>0</v>
      </c>
      <c r="L17" s="728"/>
    </row>
    <row r="18" spans="1:12" ht="20.100000000000001" customHeight="1" thickBot="1" x14ac:dyDescent="0.25">
      <c r="A18" s="813"/>
      <c r="B18" s="818"/>
      <c r="C18" s="819"/>
      <c r="D18" s="822"/>
      <c r="E18" s="732"/>
      <c r="F18" s="733" t="s">
        <v>2092</v>
      </c>
      <c r="G18" s="734">
        <v>0.3</v>
      </c>
      <c r="H18" s="735"/>
      <c r="I18" s="825"/>
      <c r="J18" s="828"/>
      <c r="K18" s="804"/>
      <c r="L18" s="728"/>
    </row>
    <row r="19" spans="1:12" ht="20.100000000000001" customHeight="1" x14ac:dyDescent="0.2">
      <c r="A19" s="811">
        <f>[4]CyP!A21</f>
        <v>4</v>
      </c>
      <c r="B19" s="814" t="str">
        <f t="shared" si="0"/>
        <v>REVOQUES</v>
      </c>
      <c r="C19" s="815"/>
      <c r="D19" s="820">
        <f t="shared" si="1"/>
        <v>0.14285714285714285</v>
      </c>
      <c r="E19" s="724"/>
      <c r="F19" s="725" t="s">
        <v>2093</v>
      </c>
      <c r="G19" s="726">
        <v>0.33</v>
      </c>
      <c r="H19" s="727"/>
      <c r="I19" s="823"/>
      <c r="J19" s="826">
        <f>+K19-I19</f>
        <v>0</v>
      </c>
      <c r="K19" s="803">
        <f>+ROUND(H19/[4]CyP!E21*'MED OBRA'!G19+'MED OBRA'!H20/[4]CyP!E21*'MED OBRA'!G20+'MED OBRA'!H21/[4]CyP!E21*'MED OBRA'!G21,4)</f>
        <v>0</v>
      </c>
      <c r="L19" s="728"/>
    </row>
    <row r="20" spans="1:12" ht="20.100000000000001" customHeight="1" x14ac:dyDescent="0.2">
      <c r="A20" s="812"/>
      <c r="B20" s="816"/>
      <c r="C20" s="817"/>
      <c r="D20" s="821"/>
      <c r="E20" s="695"/>
      <c r="F20" s="729" t="s">
        <v>2094</v>
      </c>
      <c r="G20" s="730">
        <v>0.33</v>
      </c>
      <c r="H20" s="731"/>
      <c r="I20" s="824"/>
      <c r="J20" s="827"/>
      <c r="K20" s="829"/>
      <c r="L20" s="728"/>
    </row>
    <row r="21" spans="1:12" ht="20.100000000000001" customHeight="1" thickBot="1" x14ac:dyDescent="0.25">
      <c r="A21" s="813"/>
      <c r="B21" s="818"/>
      <c r="C21" s="819"/>
      <c r="D21" s="822"/>
      <c r="E21" s="732"/>
      <c r="F21" s="733" t="s">
        <v>2095</v>
      </c>
      <c r="G21" s="734">
        <v>0.34</v>
      </c>
      <c r="H21" s="735"/>
      <c r="I21" s="825"/>
      <c r="J21" s="828"/>
      <c r="K21" s="804"/>
      <c r="L21" s="728"/>
    </row>
    <row r="22" spans="1:12" ht="20.100000000000001" customHeight="1" x14ac:dyDescent="0.2">
      <c r="A22" s="811">
        <f>[4]CyP!A22</f>
        <v>5</v>
      </c>
      <c r="B22" s="814" t="str">
        <f t="shared" si="0"/>
        <v>CARPINTERIA</v>
      </c>
      <c r="C22" s="815"/>
      <c r="D22" s="820">
        <f t="shared" si="1"/>
        <v>0.17857142857142858</v>
      </c>
      <c r="E22" s="724"/>
      <c r="F22" s="725" t="s">
        <v>2096</v>
      </c>
      <c r="G22" s="726">
        <v>0.1</v>
      </c>
      <c r="H22" s="727"/>
      <c r="I22" s="823"/>
      <c r="J22" s="826">
        <f>+K22-I22</f>
        <v>0</v>
      </c>
      <c r="K22" s="803">
        <f>+ROUND(H22/[4]CyP!E22*'MED OBRA'!G22+'MED OBRA'!H23/[4]CyP!E22*'MED OBRA'!G23+'MED OBRA'!H24/[4]CyP!E22*'MED OBRA'!G24+'MED OBRA'!H25/[4]CyP!E22*'MED OBRA'!G25+'MED OBRA'!H26/[4]CyP!E22*'MED OBRA'!G26+'MED OBRA'!H27/[4]CyP!E22*'MED OBRA'!G27,4)</f>
        <v>0</v>
      </c>
      <c r="L22" s="728"/>
    </row>
    <row r="23" spans="1:12" ht="20.100000000000001" customHeight="1" x14ac:dyDescent="0.2">
      <c r="A23" s="812"/>
      <c r="B23" s="816"/>
      <c r="C23" s="817"/>
      <c r="D23" s="821"/>
      <c r="E23" s="695"/>
      <c r="F23" s="729" t="s">
        <v>2097</v>
      </c>
      <c r="G23" s="730">
        <v>0.2</v>
      </c>
      <c r="H23" s="731"/>
      <c r="I23" s="824"/>
      <c r="J23" s="827"/>
      <c r="K23" s="829"/>
      <c r="L23" s="728"/>
    </row>
    <row r="24" spans="1:12" ht="20.100000000000001" customHeight="1" x14ac:dyDescent="0.2">
      <c r="A24" s="812"/>
      <c r="B24" s="816"/>
      <c r="C24" s="817"/>
      <c r="D24" s="821"/>
      <c r="E24" s="695"/>
      <c r="F24" s="729" t="s">
        <v>2098</v>
      </c>
      <c r="G24" s="730">
        <v>0.2</v>
      </c>
      <c r="H24" s="731"/>
      <c r="I24" s="824"/>
      <c r="J24" s="827"/>
      <c r="K24" s="829"/>
      <c r="L24" s="728"/>
    </row>
    <row r="25" spans="1:12" ht="20.100000000000001" customHeight="1" x14ac:dyDescent="0.2">
      <c r="A25" s="812"/>
      <c r="B25" s="816"/>
      <c r="C25" s="817"/>
      <c r="D25" s="821"/>
      <c r="E25" s="695"/>
      <c r="F25" s="729" t="s">
        <v>2099</v>
      </c>
      <c r="G25" s="730">
        <v>0.1</v>
      </c>
      <c r="H25" s="731"/>
      <c r="I25" s="824"/>
      <c r="J25" s="827"/>
      <c r="K25" s="829"/>
      <c r="L25" s="728"/>
    </row>
    <row r="26" spans="1:12" ht="20.100000000000001" customHeight="1" x14ac:dyDescent="0.2">
      <c r="A26" s="812"/>
      <c r="B26" s="816"/>
      <c r="C26" s="817"/>
      <c r="D26" s="821"/>
      <c r="E26" s="695"/>
      <c r="F26" s="729" t="s">
        <v>2100</v>
      </c>
      <c r="G26" s="730">
        <v>0.2</v>
      </c>
      <c r="H26" s="731"/>
      <c r="I26" s="824"/>
      <c r="J26" s="827"/>
      <c r="K26" s="829"/>
      <c r="L26" s="728"/>
    </row>
    <row r="27" spans="1:12" ht="20.100000000000001" customHeight="1" thickBot="1" x14ac:dyDescent="0.25">
      <c r="A27" s="813"/>
      <c r="B27" s="818"/>
      <c r="C27" s="819"/>
      <c r="D27" s="822"/>
      <c r="E27" s="732"/>
      <c r="F27" s="733" t="s">
        <v>2101</v>
      </c>
      <c r="G27" s="734">
        <v>0.2</v>
      </c>
      <c r="H27" s="735"/>
      <c r="I27" s="825"/>
      <c r="J27" s="828"/>
      <c r="K27" s="804"/>
      <c r="L27" s="728"/>
    </row>
    <row r="28" spans="1:12" ht="20.100000000000001" customHeight="1" x14ac:dyDescent="0.2">
      <c r="A28" s="811">
        <f>[4]CyP!A23</f>
        <v>6</v>
      </c>
      <c r="B28" s="814" t="str">
        <f t="shared" si="0"/>
        <v>INSTALACION SANITARIA</v>
      </c>
      <c r="C28" s="815"/>
      <c r="D28" s="820">
        <f t="shared" si="1"/>
        <v>0.21428571428571427</v>
      </c>
      <c r="E28" s="724"/>
      <c r="F28" s="725" t="s">
        <v>2102</v>
      </c>
      <c r="G28" s="726">
        <v>0.2</v>
      </c>
      <c r="H28" s="727"/>
      <c r="I28" s="823"/>
      <c r="J28" s="826">
        <f>+K28-I28</f>
        <v>0</v>
      </c>
      <c r="K28" s="803">
        <f>+ROUND(H28/[4]CyP!E23*'MED OBRA'!G28+'MED OBRA'!H29/[4]CyP!E23*'MED OBRA'!G29+'MED OBRA'!H30/[4]CyP!E23*'MED OBRA'!G30+'MED OBRA'!H31/[4]CyP!E23*'MED OBRA'!G31+'MED OBRA'!H32/[4]CyP!E23*'MED OBRA'!G32,4)</f>
        <v>0</v>
      </c>
      <c r="L28" s="728"/>
    </row>
    <row r="29" spans="1:12" ht="20.100000000000001" customHeight="1" x14ac:dyDescent="0.2">
      <c r="A29" s="812"/>
      <c r="B29" s="816"/>
      <c r="C29" s="817"/>
      <c r="D29" s="821"/>
      <c r="E29" s="695"/>
      <c r="F29" s="729" t="s">
        <v>2103</v>
      </c>
      <c r="G29" s="730">
        <v>0.15</v>
      </c>
      <c r="H29" s="731"/>
      <c r="I29" s="824"/>
      <c r="J29" s="827"/>
      <c r="K29" s="829"/>
      <c r="L29" s="728"/>
    </row>
    <row r="30" spans="1:12" ht="20.100000000000001" customHeight="1" x14ac:dyDescent="0.2">
      <c r="A30" s="812"/>
      <c r="B30" s="816"/>
      <c r="C30" s="817"/>
      <c r="D30" s="821"/>
      <c r="E30" s="695"/>
      <c r="F30" s="729" t="s">
        <v>2104</v>
      </c>
      <c r="G30" s="730">
        <v>0.2</v>
      </c>
      <c r="H30" s="731"/>
      <c r="I30" s="824"/>
      <c r="J30" s="827"/>
      <c r="K30" s="829"/>
      <c r="L30" s="728"/>
    </row>
    <row r="31" spans="1:12" ht="20.100000000000001" customHeight="1" x14ac:dyDescent="0.2">
      <c r="A31" s="812"/>
      <c r="B31" s="816"/>
      <c r="C31" s="817"/>
      <c r="D31" s="821"/>
      <c r="E31" s="695"/>
      <c r="F31" s="729" t="s">
        <v>2105</v>
      </c>
      <c r="G31" s="730">
        <v>0.3</v>
      </c>
      <c r="H31" s="731"/>
      <c r="I31" s="824"/>
      <c r="J31" s="827"/>
      <c r="K31" s="829"/>
      <c r="L31" s="728"/>
    </row>
    <row r="32" spans="1:12" ht="20.100000000000001" customHeight="1" thickBot="1" x14ac:dyDescent="0.25">
      <c r="A32" s="813"/>
      <c r="B32" s="818"/>
      <c r="C32" s="819"/>
      <c r="D32" s="822"/>
      <c r="E32" s="732"/>
      <c r="F32" s="733" t="s">
        <v>2106</v>
      </c>
      <c r="G32" s="734">
        <v>0.15</v>
      </c>
      <c r="H32" s="735"/>
      <c r="I32" s="825"/>
      <c r="J32" s="828"/>
      <c r="K32" s="804"/>
      <c r="L32" s="728"/>
    </row>
    <row r="33" spans="1:81" ht="20.100000000000001" customHeight="1" x14ac:dyDescent="0.2">
      <c r="A33" s="811">
        <f>[4]CyP!A24</f>
        <v>7</v>
      </c>
      <c r="B33" s="814" t="str">
        <f>IFERROR(VLOOKUP(A33,Tabla_CyP,2,FALSE),"")</f>
        <v>INTALACION GAS</v>
      </c>
      <c r="C33" s="815"/>
      <c r="D33" s="820">
        <f>IFERROR(VLOOKUP(A33,Tabla_CyP,9,FALSE),0)</f>
        <v>0.25</v>
      </c>
      <c r="E33" s="724"/>
      <c r="F33" s="725" t="s">
        <v>2107</v>
      </c>
      <c r="G33" s="726">
        <v>0.3</v>
      </c>
      <c r="H33" s="727"/>
      <c r="I33" s="823"/>
      <c r="J33" s="826">
        <f>+K33-I33</f>
        <v>0</v>
      </c>
      <c r="K33" s="803">
        <f>ROUND(+H33/[4]CyP!E24*'MED OBRA'!G33+H34/[4]CyP!E24*'MED OBRA'!G34+'MED OBRA'!H35/[4]CyP!E24*'MED OBRA'!G35+'MED OBRA'!H36/[4]CyP!E24*'MED OBRA'!G36,4)</f>
        <v>0</v>
      </c>
      <c r="L33" s="728"/>
    </row>
    <row r="34" spans="1:81" ht="20.100000000000001" customHeight="1" x14ac:dyDescent="0.2">
      <c r="A34" s="812"/>
      <c r="B34" s="816"/>
      <c r="C34" s="817"/>
      <c r="D34" s="821"/>
      <c r="E34" s="695"/>
      <c r="F34" s="729" t="s">
        <v>2108</v>
      </c>
      <c r="G34" s="730">
        <v>0.3</v>
      </c>
      <c r="H34" s="731"/>
      <c r="I34" s="824"/>
      <c r="J34" s="827"/>
      <c r="K34" s="829"/>
      <c r="L34" s="728"/>
    </row>
    <row r="35" spans="1:81" ht="20.100000000000001" customHeight="1" x14ac:dyDescent="0.2">
      <c r="A35" s="812"/>
      <c r="B35" s="816"/>
      <c r="C35" s="817"/>
      <c r="D35" s="821"/>
      <c r="E35" s="695"/>
      <c r="F35" s="729" t="s">
        <v>2109</v>
      </c>
      <c r="G35" s="730">
        <v>0.15</v>
      </c>
      <c r="H35" s="731"/>
      <c r="I35" s="824"/>
      <c r="J35" s="827"/>
      <c r="K35" s="829"/>
      <c r="L35" s="728"/>
    </row>
    <row r="36" spans="1:81" ht="19.5" customHeight="1" thickBot="1" x14ac:dyDescent="0.25">
      <c r="A36" s="813"/>
      <c r="B36" s="818"/>
      <c r="C36" s="819"/>
      <c r="D36" s="822"/>
      <c r="E36" s="732"/>
      <c r="F36" s="733" t="s">
        <v>2110</v>
      </c>
      <c r="G36" s="734">
        <v>0.25</v>
      </c>
      <c r="H36" s="735"/>
      <c r="I36" s="825"/>
      <c r="J36" s="828"/>
      <c r="K36" s="804"/>
      <c r="L36" s="728"/>
    </row>
    <row r="37" spans="1:81" s="10" customFormat="1" ht="20.100000000000001" customHeight="1" x14ac:dyDescent="0.2">
      <c r="A37" s="736" t="s">
        <v>3</v>
      </c>
      <c r="B37" s="737" t="s">
        <v>3</v>
      </c>
      <c r="C37" s="737"/>
      <c r="D37" s="738" t="s">
        <v>4</v>
      </c>
      <c r="E37" s="33"/>
      <c r="F37" s="33"/>
      <c r="G37" s="33"/>
      <c r="H37" s="705"/>
      <c r="I37" s="697"/>
      <c r="J37" s="697"/>
      <c r="K37" s="697"/>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row>
    <row r="38" spans="1:81" ht="20.100000000000001" customHeight="1" x14ac:dyDescent="0.2">
      <c r="A38" s="49" t="s">
        <v>3</v>
      </c>
      <c r="B38" s="47" t="s">
        <v>7</v>
      </c>
      <c r="C38" s="51"/>
      <c r="D38" s="739">
        <f>SUM(D13:D37)</f>
        <v>1</v>
      </c>
      <c r="E38" s="699"/>
      <c r="F38" s="699"/>
      <c r="G38" s="699"/>
      <c r="H38" s="740"/>
      <c r="I38" s="741">
        <f>+SUMPRODUCT(I13:I36,$D$13:$D$36)</f>
        <v>0</v>
      </c>
      <c r="J38" s="741">
        <f t="shared" ref="J38:K38" si="2">+SUMPRODUCT(J13:J36,$D$13:$D$36)</f>
        <v>0</v>
      </c>
      <c r="K38" s="741">
        <f t="shared" si="2"/>
        <v>0</v>
      </c>
    </row>
    <row r="39" spans="1:81" ht="20.100000000000001" customHeight="1" x14ac:dyDescent="0.2">
      <c r="A39" s="35"/>
      <c r="B39" s="35"/>
      <c r="C39" s="35"/>
      <c r="D39" s="35"/>
      <c r="E39" s="36"/>
      <c r="F39" s="36"/>
      <c r="G39" s="36"/>
      <c r="H39" s="705"/>
      <c r="I39" s="36"/>
      <c r="J39" s="35"/>
      <c r="K39" s="35"/>
    </row>
    <row r="40" spans="1:81" ht="20.100000000000001" customHeight="1" x14ac:dyDescent="0.2">
      <c r="E40" s="26"/>
      <c r="F40" s="26"/>
      <c r="G40" s="26"/>
      <c r="H40" s="742"/>
      <c r="I40" s="26"/>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Full name</cp:lastModifiedBy>
  <cp:lastPrinted>2018-11-10T14:53:10Z</cp:lastPrinted>
  <dcterms:created xsi:type="dcterms:W3CDTF">2016-09-02T20:54:46Z</dcterms:created>
  <dcterms:modified xsi:type="dcterms:W3CDTF">2021-03-19T13:45:21Z</dcterms:modified>
</cp:coreProperties>
</file>